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rthurDorleans 1/Desktop/Treasurer/Budgets/"/>
    </mc:Choice>
  </mc:AlternateContent>
  <xr:revisionPtr revIDLastSave="0" documentId="13_ncr:1_{A28A1F8C-5155-B94A-AD16-5F66AF79A6AD}" xr6:coauthVersionLast="47" xr6:coauthVersionMax="47" xr10:uidLastSave="{00000000-0000-0000-0000-000000000000}"/>
  <bookViews>
    <workbookView xWindow="20" yWindow="500" windowWidth="28780" windowHeight="16040" xr2:uid="{F4A1ECE1-E770-4C1A-B99A-456B1F322FBD}"/>
  </bookViews>
  <sheets>
    <sheet name="Total" sheetId="3" r:id="rId1"/>
    <sheet name="EB" sheetId="1" r:id="rId2"/>
    <sheet name="AB" sheetId="15" r:id="rId3"/>
    <sheet name="SB" sheetId="21" r:id="rId4"/>
    <sheet name="Graduation" sheetId="2" r:id="rId5"/>
    <sheet name="Sports" sheetId="23" r:id="rId6"/>
    <sheet name="Party" sheetId="6" r:id="rId7"/>
    <sheet name="EXCO" sheetId="27" r:id="rId8"/>
    <sheet name="Spiritual Enlightenment" sheetId="18" r:id="rId9"/>
    <sheet name="Bell" sheetId="14" r:id="rId10"/>
    <sheet name="IRDC" sheetId="12" r:id="rId11"/>
    <sheet name="Garden" sheetId="5" r:id="rId12"/>
    <sheet name="Limburg" sheetId="30" r:id="rId13"/>
    <sheet name="Film" sheetId="16" r:id="rId14"/>
    <sheet name="Swing" sheetId="10" r:id="rId15"/>
    <sheet name="Charity" sheetId="11" r:id="rId16"/>
    <sheet name="Radio" sheetId="33" r:id="rId17"/>
    <sheet name="Cooking" sheetId="29" r:id="rId18"/>
    <sheet name="Gay" sheetId="8" r:id="rId19"/>
    <sheet name="Arts" sheetId="19" r:id="rId20"/>
    <sheet name="Games" sheetId="9" r:id="rId21"/>
    <sheet name="Poetry" sheetId="13" r:id="rId22"/>
    <sheet name="Politics" sheetId="28" r:id="rId23"/>
    <sheet name="Crafts" sheetId="31" r:id="rId24"/>
    <sheet name="Music" sheetId="7" r:id="rId25"/>
    <sheet name="Philosophy" sheetId="20" r:id="rId26"/>
    <sheet name="Book" sheetId="17" r:id="rId27"/>
    <sheet name="Hypatia" sheetId="32" r:id="rId28"/>
    <sheet name="Theater" sheetId="4" r:id="rId2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G11" i="32"/>
  <c r="G8" i="32"/>
  <c r="D10" i="4"/>
  <c r="G32" i="9"/>
  <c r="D23" i="9"/>
  <c r="D21" i="9"/>
  <c r="D17" i="9"/>
  <c r="D14" i="9"/>
  <c r="D12" i="9"/>
  <c r="D7" i="9"/>
  <c r="D12" i="29"/>
  <c r="G11" i="13"/>
  <c r="F7" i="13"/>
  <c r="G7" i="13"/>
  <c r="D14" i="13"/>
  <c r="D13" i="13"/>
  <c r="D12" i="13"/>
  <c r="D16" i="19"/>
  <c r="E16" i="8"/>
  <c r="D10" i="8"/>
  <c r="E11" i="8"/>
  <c r="E8" i="8"/>
  <c r="D13" i="10"/>
  <c r="D12" i="11"/>
  <c r="D15" i="30"/>
  <c r="D17" i="5"/>
  <c r="D15" i="5"/>
  <c r="D14" i="5"/>
  <c r="D13" i="14"/>
  <c r="D12" i="14"/>
  <c r="G35" i="27"/>
  <c r="D25" i="15"/>
  <c r="D23" i="15"/>
  <c r="D21" i="15"/>
  <c r="D16" i="15"/>
  <c r="D13" i="15"/>
  <c r="D18" i="6"/>
  <c r="D17" i="6"/>
  <c r="D16" i="6"/>
  <c r="D15" i="6"/>
  <c r="D14" i="6"/>
  <c r="F13" i="6"/>
  <c r="F7" i="6" l="1"/>
  <c r="G22" i="18"/>
  <c r="D24" i="18"/>
  <c r="I8" i="6"/>
  <c r="H8" i="6"/>
  <c r="D10" i="19"/>
  <c r="G10" i="32"/>
  <c r="G9" i="4"/>
  <c r="G13" i="20"/>
  <c r="G7" i="20"/>
  <c r="G15" i="29"/>
  <c r="G12" i="10"/>
  <c r="D10" i="16"/>
  <c r="F10" i="30"/>
  <c r="G19" i="23"/>
  <c r="D12" i="2"/>
  <c r="D16" i="23" l="1"/>
  <c r="D13" i="23"/>
  <c r="G11" i="23" s="1"/>
  <c r="D10" i="23"/>
  <c r="D9" i="23"/>
  <c r="D17" i="13"/>
  <c r="D16" i="13"/>
  <c r="F16" i="19"/>
  <c r="G15" i="19" s="1"/>
  <c r="G12" i="19"/>
  <c r="G14" i="28"/>
  <c r="G10" i="28"/>
  <c r="G13" i="30"/>
  <c r="G16" i="21"/>
  <c r="G22" i="21"/>
  <c r="G24" i="21"/>
  <c r="G25" i="21"/>
  <c r="G26" i="21"/>
  <c r="G30" i="21"/>
  <c r="D7" i="21"/>
  <c r="G7" i="21" s="1"/>
  <c r="G14" i="20"/>
  <c r="F14" i="20"/>
  <c r="G10" i="20"/>
  <c r="G25" i="17"/>
  <c r="D24" i="17"/>
  <c r="G24" i="17" s="1"/>
  <c r="D21" i="17"/>
  <c r="D20" i="17"/>
  <c r="G22" i="17" s="1"/>
  <c r="D18" i="17"/>
  <c r="G18" i="17" s="1"/>
  <c r="D15" i="17"/>
  <c r="G16" i="17" s="1"/>
  <c r="D14" i="17"/>
  <c r="G14" i="17" s="1"/>
  <c r="D11" i="17"/>
  <c r="G11" i="17" s="1"/>
  <c r="B17" i="3"/>
  <c r="B25" i="3"/>
  <c r="B19" i="3"/>
  <c r="B14" i="3"/>
  <c r="F19" i="12"/>
  <c r="D18" i="30"/>
  <c r="G14" i="11"/>
  <c r="D15" i="11"/>
  <c r="D9" i="19"/>
  <c r="F15" i="23"/>
  <c r="G14" i="23" s="1"/>
  <c r="E10" i="23"/>
  <c r="F10" i="23" s="1"/>
  <c r="G10" i="23" s="1"/>
  <c r="F9" i="23"/>
  <c r="F6" i="23"/>
  <c r="D30" i="27"/>
  <c r="D18" i="27"/>
  <c r="D13" i="27"/>
  <c r="B28" i="3"/>
  <c r="E18" i="7"/>
  <c r="G26" i="17" l="1"/>
  <c r="B27" i="3" s="1"/>
  <c r="G17" i="20"/>
  <c r="B26" i="3" s="1"/>
  <c r="G9" i="23"/>
  <c r="D9" i="8"/>
  <c r="E9" i="8" s="1"/>
  <c r="G19" i="5"/>
  <c r="G17" i="5"/>
  <c r="G7" i="30"/>
  <c r="D13" i="28"/>
  <c r="D9" i="15"/>
  <c r="D33" i="21"/>
  <c r="D32" i="21"/>
  <c r="G34" i="21" s="1"/>
  <c r="D27" i="21"/>
  <c r="G27" i="21" s="1"/>
  <c r="D21" i="21"/>
  <c r="D20" i="21"/>
  <c r="G21" i="21" s="1"/>
  <c r="D14" i="21"/>
  <c r="D13" i="21"/>
  <c r="G15" i="21" s="1"/>
  <c r="F9" i="21"/>
  <c r="G10" i="21" s="1"/>
  <c r="E9" i="21"/>
  <c r="G15" i="13" l="1"/>
  <c r="G18" i="13"/>
  <c r="B23" i="3" s="1"/>
  <c r="G29" i="9" l="1"/>
  <c r="G25" i="9"/>
  <c r="G23" i="9"/>
  <c r="G20" i="9"/>
  <c r="G19" i="9"/>
  <c r="G16" i="9"/>
  <c r="G14" i="9"/>
  <c r="G11" i="9"/>
  <c r="G10" i="9"/>
  <c r="G9" i="9"/>
  <c r="G6" i="9"/>
  <c r="G8" i="10"/>
  <c r="G22" i="10" s="1"/>
  <c r="B15" i="3" s="1"/>
  <c r="F25" i="18"/>
  <c r="G25" i="18" s="1"/>
  <c r="F18" i="18"/>
  <c r="G18" i="18" s="1"/>
  <c r="F15" i="18"/>
  <c r="G15" i="18" s="1"/>
  <c r="F12" i="18"/>
  <c r="G12" i="18" s="1"/>
  <c r="G9" i="18"/>
  <c r="F9" i="18"/>
  <c r="F6" i="18"/>
  <c r="G6" i="18" s="1"/>
  <c r="G29" i="18" s="1"/>
  <c r="B8" i="3" s="1"/>
  <c r="B22" i="3" l="1"/>
  <c r="G14" i="29"/>
  <c r="G13" i="29"/>
  <c r="G11" i="29"/>
  <c r="G16" i="29" l="1"/>
  <c r="B18" i="3" s="1"/>
  <c r="D13" i="2"/>
  <c r="G11" i="2"/>
  <c r="F6" i="2"/>
  <c r="G6" i="2" s="1"/>
  <c r="G14" i="2" l="1"/>
  <c r="B4" i="3" s="1"/>
  <c r="F13" i="16"/>
  <c r="D13" i="16"/>
  <c r="G12" i="16"/>
  <c r="D9" i="16"/>
  <c r="G8" i="16"/>
  <c r="G15" i="16" s="1"/>
  <c r="G10" i="33" l="1"/>
  <c r="G6" i="33"/>
  <c r="G13" i="33" s="1"/>
  <c r="G19" i="6" l="1"/>
  <c r="G13" i="6"/>
  <c r="G7" i="6"/>
  <c r="G20" i="6" s="1"/>
  <c r="B6" i="3" s="1"/>
  <c r="G15" i="5" l="1"/>
  <c r="G13" i="5"/>
  <c r="G7" i="5"/>
  <c r="G21" i="5" l="1"/>
  <c r="B12" i="3" s="1"/>
  <c r="G6" i="23"/>
  <c r="B5" i="3" s="1"/>
  <c r="E30" i="31"/>
  <c r="E26" i="31"/>
  <c r="E21" i="31"/>
  <c r="E18" i="31"/>
  <c r="E13" i="31"/>
  <c r="E9" i="31"/>
  <c r="E5" i="31"/>
  <c r="D22" i="12"/>
  <c r="D21" i="12"/>
  <c r="G16" i="12"/>
  <c r="G13" i="12"/>
  <c r="G10" i="12"/>
  <c r="G7" i="12"/>
  <c r="E32" i="31" l="1"/>
  <c r="B20" i="3" s="1"/>
  <c r="G19" i="12"/>
  <c r="G23" i="12" s="1"/>
  <c r="B11" i="3" s="1"/>
  <c r="E19" i="7"/>
  <c r="G19" i="30"/>
  <c r="G17" i="30"/>
  <c r="G21" i="30"/>
  <c r="B13" i="3" s="1"/>
  <c r="G7" i="28" l="1"/>
  <c r="G13" i="4"/>
  <c r="B29" i="3" s="1"/>
  <c r="D39" i="27"/>
  <c r="F38" i="27"/>
  <c r="D37" i="27"/>
  <c r="F36" i="27"/>
  <c r="D35" i="27"/>
  <c r="F34" i="27"/>
  <c r="D33" i="27"/>
  <c r="D32" i="27"/>
  <c r="D31" i="27"/>
  <c r="F29" i="27"/>
  <c r="D28" i="27"/>
  <c r="D27" i="27"/>
  <c r="G25" i="27"/>
  <c r="G24" i="27"/>
  <c r="G23" i="27"/>
  <c r="F17" i="27"/>
  <c r="G21" i="27" s="1"/>
  <c r="D16" i="27"/>
  <c r="D15" i="27"/>
  <c r="D14" i="27"/>
  <c r="F12" i="27"/>
  <c r="G16" i="27" s="1"/>
  <c r="D11" i="27"/>
  <c r="G11" i="27" s="1"/>
  <c r="D9" i="27"/>
  <c r="G9" i="27" s="1"/>
  <c r="G7" i="27"/>
  <c r="G39" i="27" l="1"/>
  <c r="G37" i="27"/>
  <c r="G28" i="27"/>
  <c r="G33" i="27"/>
  <c r="G15" i="28"/>
  <c r="B24" i="3" s="1"/>
  <c r="G11" i="11"/>
  <c r="G7" i="11"/>
  <c r="G16" i="11" s="1"/>
  <c r="B16" i="3" s="1"/>
  <c r="G14" i="14"/>
  <c r="G11" i="14"/>
  <c r="G7" i="14"/>
  <c r="G15" i="14" s="1"/>
  <c r="B10" i="3" s="1"/>
  <c r="G41" i="27" l="1"/>
  <c r="B7" i="3" s="1"/>
  <c r="G8" i="19"/>
  <c r="G25" i="15"/>
  <c r="G23" i="15"/>
  <c r="G21" i="15"/>
  <c r="G20" i="15"/>
  <c r="G19" i="15"/>
  <c r="G18" i="15"/>
  <c r="G16" i="15"/>
  <c r="G15" i="15"/>
  <c r="G13" i="15"/>
  <c r="G12" i="15"/>
  <c r="G11" i="15"/>
  <c r="G9" i="15"/>
  <c r="G7" i="15"/>
  <c r="G19" i="19" l="1"/>
  <c r="B21" i="3" s="1"/>
  <c r="G27" i="15"/>
  <c r="B9" i="3" s="1"/>
  <c r="G6" i="21"/>
  <c r="G35" i="21" l="1"/>
  <c r="B3" i="3" s="1"/>
  <c r="G16" i="1"/>
  <c r="G17" i="1"/>
  <c r="D10" i="1"/>
  <c r="D14" i="1"/>
  <c r="D5" i="1"/>
  <c r="G15" i="1" l="1"/>
  <c r="G14" i="1"/>
  <c r="G11" i="1"/>
  <c r="G10" i="1"/>
  <c r="G9" i="1"/>
  <c r="G8" i="1"/>
  <c r="G7" i="1"/>
  <c r="G6" i="1"/>
  <c r="G5" i="1"/>
  <c r="G18" i="1" l="1"/>
  <c r="B2" i="3" s="1"/>
  <c r="B31" i="3" s="1"/>
</calcChain>
</file>

<file path=xl/sharedStrings.xml><?xml version="1.0" encoding="utf-8"?>
<sst xmlns="http://schemas.openxmlformats.org/spreadsheetml/2006/main" count="753" uniqueCount="473">
  <si>
    <t>Event</t>
  </si>
  <si>
    <t>Description</t>
  </si>
  <si>
    <t>Cost</t>
  </si>
  <si>
    <t>Tickets</t>
  </si>
  <si>
    <t>Ticket Income</t>
  </si>
  <si>
    <t>Request</t>
  </si>
  <si>
    <t>Total Requested Budget</t>
  </si>
  <si>
    <t>Executive Board</t>
  </si>
  <si>
    <t>Board Bonding</t>
  </si>
  <si>
    <t>Bank Fees</t>
  </si>
  <si>
    <t>Website Fees</t>
  </si>
  <si>
    <t>Board Room Supplies</t>
  </si>
  <si>
    <t>Cleaning Supplies</t>
  </si>
  <si>
    <t>General Assemblies</t>
  </si>
  <si>
    <t>10% of all money in bank account</t>
  </si>
  <si>
    <t>Graduation Committee</t>
  </si>
  <si>
    <t>Committee</t>
  </si>
  <si>
    <t>Total Budget</t>
  </si>
  <si>
    <t>Academic Board</t>
  </si>
  <si>
    <t>Social Board</t>
  </si>
  <si>
    <t>Art</t>
  </si>
  <si>
    <t>Bell</t>
  </si>
  <si>
    <t>Book</t>
  </si>
  <si>
    <t>Charity</t>
  </si>
  <si>
    <t>Exco</t>
  </si>
  <si>
    <t>Film</t>
  </si>
  <si>
    <t>Gay Agenda</t>
  </si>
  <si>
    <t>Graduation</t>
  </si>
  <si>
    <t>IRDC</t>
  </si>
  <si>
    <t>Music</t>
  </si>
  <si>
    <t>Party</t>
  </si>
  <si>
    <t>Poetry</t>
  </si>
  <si>
    <t>Spiritual Enl.</t>
  </si>
  <si>
    <t>Sports</t>
  </si>
  <si>
    <t>Swing</t>
  </si>
  <si>
    <t>Theatre</t>
  </si>
  <si>
    <t>UCSRN</t>
  </si>
  <si>
    <t>TOTAL</t>
  </si>
  <si>
    <t>w/o contingency</t>
  </si>
  <si>
    <t>Gardening Committee</t>
  </si>
  <si>
    <t xml:space="preserve">Party </t>
  </si>
  <si>
    <t>Music Committee</t>
  </si>
  <si>
    <t>The Gay Agenda</t>
  </si>
  <si>
    <t>Zwingelput Swing Committee</t>
  </si>
  <si>
    <t>Charity Committee</t>
  </si>
  <si>
    <t>International Relations and Diplomacy Committee</t>
  </si>
  <si>
    <t>Poetry Committee</t>
  </si>
  <si>
    <t>The Bell</t>
  </si>
  <si>
    <t>Food</t>
  </si>
  <si>
    <t>UCM Book Club</t>
  </si>
  <si>
    <t>Art Committee</t>
  </si>
  <si>
    <t>Philosophy</t>
  </si>
  <si>
    <t xml:space="preserve">EXCO </t>
  </si>
  <si>
    <t>Spent</t>
  </si>
  <si>
    <t>Printing</t>
  </si>
  <si>
    <t>For Board and committees</t>
  </si>
  <si>
    <t>Decorations</t>
  </si>
  <si>
    <t>Contingency</t>
  </si>
  <si>
    <t>Cake</t>
  </si>
  <si>
    <t>Universalis 22nd Birthday</t>
  </si>
  <si>
    <t>Board &amp; IB Tshirts</t>
  </si>
  <si>
    <t>3 x €50 (determined per policy)</t>
  </si>
  <si>
    <t>15 x €16.5</t>
  </si>
  <si>
    <t>snacks 3 x €25</t>
  </si>
  <si>
    <t>Food containers</t>
  </si>
  <si>
    <t>Canva Pro</t>
  </si>
  <si>
    <t>Annual Subscription</t>
  </si>
  <si>
    <t>Drink Budget</t>
  </si>
  <si>
    <t>Beer and Wine</t>
  </si>
  <si>
    <t>Soft drinks</t>
  </si>
  <si>
    <t>Supplies</t>
  </si>
  <si>
    <t>Cups</t>
  </si>
  <si>
    <t>Cutlery</t>
  </si>
  <si>
    <t>Plates</t>
  </si>
  <si>
    <t>Paper Towels</t>
  </si>
  <si>
    <t>Fund for New Committee</t>
  </si>
  <si>
    <t>To be approved per committee</t>
  </si>
  <si>
    <t>Membership fee</t>
  </si>
  <si>
    <t>Travel Costs UCSRN Weekend 2x22€</t>
  </si>
  <si>
    <t>Spotlight Travel Reimbursement</t>
  </si>
  <si>
    <t xml:space="preserve">UCSRN GA travel subsidy </t>
  </si>
  <si>
    <t>Collab with other associations</t>
  </si>
  <si>
    <t>Meet up money + first event</t>
  </si>
  <si>
    <t>Sinterklaas</t>
  </si>
  <si>
    <t xml:space="preserve">Pepernoten </t>
  </si>
  <si>
    <t>Crazy 88</t>
  </si>
  <si>
    <t>Prize for Winner</t>
  </si>
  <si>
    <t>Committee thank you</t>
  </si>
  <si>
    <t xml:space="preserve">Pizza (30x10€) </t>
  </si>
  <si>
    <t>Beginning of period drinks</t>
  </si>
  <si>
    <t>Snacks (2x15€)</t>
  </si>
  <si>
    <t>Condoms</t>
  </si>
  <si>
    <t>Duck Chase</t>
  </si>
  <si>
    <t>Very small ducks (240)</t>
  </si>
  <si>
    <t>Bigger ducks (50)</t>
  </si>
  <si>
    <t>Winter at UCM</t>
  </si>
  <si>
    <t xml:space="preserve">Masters Event </t>
  </si>
  <si>
    <t>Snacks</t>
  </si>
  <si>
    <t>Speaker gift</t>
  </si>
  <si>
    <t>Academic style cultural event</t>
  </si>
  <si>
    <t>Speaker gifts (3x)</t>
  </si>
  <si>
    <t>Help desk (curriculum fair)</t>
  </si>
  <si>
    <t>Cookies &amp; course evaluations (3x)</t>
  </si>
  <si>
    <t>Snacks (3x)</t>
  </si>
  <si>
    <t>New year with the AB</t>
  </si>
  <si>
    <t>Drinks</t>
  </si>
  <si>
    <t xml:space="preserve">Sustainability Event </t>
  </si>
  <si>
    <t>Travel, accommodation &amp; buffer</t>
  </si>
  <si>
    <t xml:space="preserve">Panel discussion </t>
  </si>
  <si>
    <t>Speakers gifts (6x)</t>
  </si>
  <si>
    <t xml:space="preserve">Sharing circle </t>
  </si>
  <si>
    <t>Snacks (2x)</t>
  </si>
  <si>
    <t xml:space="preserve">Board bonding </t>
  </si>
  <si>
    <t>Communication with the dean</t>
  </si>
  <si>
    <t xml:space="preserve">Snacks </t>
  </si>
  <si>
    <t>Speakers gifts (2x)</t>
  </si>
  <si>
    <t>Workshop</t>
  </si>
  <si>
    <t>Wine Arts Figure Drawing (Spiritual Enlightenment Collab)</t>
  </si>
  <si>
    <t>Materials</t>
  </si>
  <si>
    <t>Bookmarks n Garden Labels (Book &amp; Gardening Collab)</t>
  </si>
  <si>
    <t>Snacks &amp; Drinks</t>
  </si>
  <si>
    <t>DIY Halloween constuming</t>
  </si>
  <si>
    <t>Materials (12 ppl)</t>
  </si>
  <si>
    <t>General Restock</t>
  </si>
  <si>
    <t>Fall Edition</t>
  </si>
  <si>
    <t xml:space="preserve">Printing </t>
  </si>
  <si>
    <t>Winter Edition</t>
  </si>
  <si>
    <t xml:space="preserve">Videography </t>
  </si>
  <si>
    <t>Cozy reading</t>
  </si>
  <si>
    <t>Reading session</t>
  </si>
  <si>
    <t>session</t>
  </si>
  <si>
    <t>Common room</t>
  </si>
  <si>
    <t>BYOBook</t>
  </si>
  <si>
    <t>Share/discuss</t>
  </si>
  <si>
    <t>books</t>
  </si>
  <si>
    <t>Poetry session/collab</t>
  </si>
  <si>
    <t> Poetry + snacks</t>
  </si>
  <si>
    <t>Cozy reading session</t>
  </si>
  <si>
    <t>Group reading</t>
  </si>
  <si>
    <t>Session + snacks</t>
  </si>
  <si>
    <t>Purchasing e-book</t>
  </si>
  <si>
    <t>for attendees</t>
  </si>
  <si>
    <t>White Elephant &amp;</t>
  </si>
  <si>
    <t>Waffle Wednesday</t>
  </si>
  <si>
    <t xml:space="preserve">Cookie decorating </t>
  </si>
  <si>
    <t>Cookies</t>
  </si>
  <si>
    <t>icing/decorations</t>
  </si>
  <si>
    <t xml:space="preserve"> UCM album launch (collab with Music Committe)</t>
  </si>
  <si>
    <t>Bonfire</t>
  </si>
  <si>
    <t>Wood, fire related material</t>
  </si>
  <si>
    <t>Campfire food</t>
  </si>
  <si>
    <t>1kg of apples per attendee * 1€/kg (40 attendees expected)</t>
  </si>
  <si>
    <t>Last Boat to Belgium Bike Ride</t>
  </si>
  <si>
    <t>Ferry tickets (2€/person*20 attendees)</t>
  </si>
  <si>
    <t>Autumn Hike in Belgium/Germany/NL</t>
  </si>
  <si>
    <t>18*8€</t>
  </si>
  <si>
    <t>Car cleaning (inside and outside): 10€ * 5 cars</t>
  </si>
  <si>
    <t>Driver gift 10€*5 cars</t>
  </si>
  <si>
    <t>Parking</t>
  </si>
  <si>
    <t>Winter Hike in Belgium</t>
  </si>
  <si>
    <t>Ticket sales</t>
  </si>
  <si>
    <t>Local hike</t>
  </si>
  <si>
    <t>Hot chocolate for 5 first attendees: 3€*5</t>
  </si>
  <si>
    <t xml:space="preserve">Castle Weekend Downpayment for May 2025 </t>
  </si>
  <si>
    <t>Deposit to secure the date: 714€</t>
  </si>
  <si>
    <t>Orienteering Hike</t>
  </si>
  <si>
    <t>5 compasses: 8€*5</t>
  </si>
  <si>
    <t>2 regional maps: 12€*2</t>
  </si>
  <si>
    <t xml:space="preserve">Ski Day at Baraque Fraiture (if snow) </t>
  </si>
  <si>
    <t>10*10€</t>
  </si>
  <si>
    <t>Car cleaning (inside and outside): 10€ *  cars</t>
  </si>
  <si>
    <t xml:space="preserve">Chocolate Masterclass </t>
  </si>
  <si>
    <t>25*8€</t>
  </si>
  <si>
    <t>Cost: 16€ per person</t>
  </si>
  <si>
    <t xml:space="preserve">Philharmonic Concert at Theater aan het Vrijthof 
</t>
  </si>
  <si>
    <t>25*7€</t>
  </si>
  <si>
    <t>Cost: 12.5€ per person</t>
  </si>
  <si>
    <t xml:space="preserve">Rocky Horror Picture Show at Lumière </t>
  </si>
  <si>
    <t>30*10€</t>
  </si>
  <si>
    <t>Estimated cost: 15€ per person</t>
  </si>
  <si>
    <t xml:space="preserve">Slack Line </t>
  </si>
  <si>
    <t>25m slack line</t>
  </si>
  <si>
    <t>Workshops (3x)</t>
  </si>
  <si>
    <t>Snacks (3x10€)</t>
  </si>
  <si>
    <t xml:space="preserve">Winter Play </t>
  </si>
  <si>
    <t xml:space="preserve">Props </t>
  </si>
  <si>
    <t>Politics Committee</t>
  </si>
  <si>
    <t>Political speed dating/introduction event</t>
  </si>
  <si>
    <t>Snacks &amp; drinks</t>
  </si>
  <si>
    <t>Post US election discussion</t>
  </si>
  <si>
    <t>Guest speaker event</t>
  </si>
  <si>
    <t>Reimbursement travel costs speaker</t>
  </si>
  <si>
    <t>Gift for speaker</t>
  </si>
  <si>
    <t>Limburg Committee</t>
  </si>
  <si>
    <t>Limburg Dinner</t>
  </si>
  <si>
    <t>Zoervleisj</t>
  </si>
  <si>
    <t>Frieten</t>
  </si>
  <si>
    <t>Condiments</t>
  </si>
  <si>
    <t>Excursion Mijnmuseum</t>
  </si>
  <si>
    <t>20 x 5 €</t>
  </si>
  <si>
    <t>Tour guide</t>
  </si>
  <si>
    <t>Lecture</t>
  </si>
  <si>
    <t>Speaker's Gift</t>
  </si>
  <si>
    <t>Ingrediënts</t>
  </si>
  <si>
    <t>Open mic nights (3x)</t>
  </si>
  <si>
    <t>Snacks (3x 30€)</t>
  </si>
  <si>
    <t>Album (collab with Poetry committee)</t>
  </si>
  <si>
    <t>Studio (@LBB)</t>
  </si>
  <si>
    <t>Recording programme (Audacity)</t>
  </si>
  <si>
    <t>Music distributor</t>
  </si>
  <si>
    <t xml:space="preserve">Music equipment </t>
  </si>
  <si>
    <t>Strap blocks (3x)</t>
  </si>
  <si>
    <t>Acoustic guitar strings</t>
  </si>
  <si>
    <t>Electric guitar strap</t>
  </si>
  <si>
    <t xml:space="preserve">Drumsticks </t>
  </si>
  <si>
    <t xml:space="preserve">Shipping costs </t>
  </si>
  <si>
    <t>Movie Screening</t>
  </si>
  <si>
    <t>Guest Speaker 1</t>
  </si>
  <si>
    <t>Speaker Gift</t>
  </si>
  <si>
    <t>Guest Speaker 2</t>
  </si>
  <si>
    <t>Debate</t>
  </si>
  <si>
    <t>Prize</t>
  </si>
  <si>
    <t>Study Trip to UN Headquarters Bonn</t>
  </si>
  <si>
    <t>Transportation</t>
  </si>
  <si>
    <t>Accomodation</t>
  </si>
  <si>
    <t>crafts material</t>
  </si>
  <si>
    <t>snacks</t>
  </si>
  <si>
    <t xml:space="preserve">guest gift </t>
  </si>
  <si>
    <t>Make up event</t>
  </si>
  <si>
    <t>make-up</t>
  </si>
  <si>
    <t>Watercolor paper, coloured paper</t>
  </si>
  <si>
    <t>crochet hooks/knitting needles</t>
  </si>
  <si>
    <t>clay</t>
  </si>
  <si>
    <t>magazines (20)</t>
  </si>
  <si>
    <t>Paint, paint markers, brushes</t>
  </si>
  <si>
    <t>Snacks + drinks</t>
  </si>
  <si>
    <t>Modpodge (dishwasher friendly)</t>
  </si>
  <si>
    <t>Ceramic plates /bowls</t>
  </si>
  <si>
    <t>yarn</t>
  </si>
  <si>
    <t>stuffing</t>
  </si>
  <si>
    <t>Snacks +tea</t>
  </si>
  <si>
    <t xml:space="preserve">halloween themed snacks </t>
  </si>
  <si>
    <t>stock up on craft paper</t>
  </si>
  <si>
    <t>gel/glitter pens</t>
  </si>
  <si>
    <t>tea and cookies</t>
  </si>
  <si>
    <t>paper</t>
  </si>
  <si>
    <t>Crafts Committee</t>
  </si>
  <si>
    <t>Ski day at Snowworld (30 people)</t>
  </si>
  <si>
    <t>Evening Pass 4 hours Monday-Wednesday each 25,50€</t>
  </si>
  <si>
    <t>Rentals Skis and boots each 17,50€</t>
  </si>
  <si>
    <t>Train Ticket each 10,00€</t>
  </si>
  <si>
    <t>Paintball (30 people)</t>
  </si>
  <si>
    <t>Tickets each 32,50€</t>
  </si>
  <si>
    <t>Half Marathon Collab with Exco (10 people)</t>
  </si>
  <si>
    <t>10 Tickets each 24,50€</t>
  </si>
  <si>
    <t>Bibs 15x 3,00</t>
  </si>
  <si>
    <t>Public transport for away games 30 X 15€</t>
  </si>
  <si>
    <t>Volleyball</t>
  </si>
  <si>
    <t>Rent of the room 14 X 18€</t>
  </si>
  <si>
    <t>Cheap balls 2 X 16,95</t>
  </si>
  <si>
    <t>Good ball</t>
  </si>
  <si>
    <t>Weekly events (regular gardening)</t>
  </si>
  <si>
    <t>Shovels (2)</t>
  </si>
  <si>
    <t xml:space="preserve">Boots </t>
  </si>
  <si>
    <t>Gardening Clothes</t>
  </si>
  <si>
    <t>wire</t>
  </si>
  <si>
    <t>Pretty garden</t>
  </si>
  <si>
    <t xml:space="preserve">Planting seeds </t>
  </si>
  <si>
    <t xml:space="preserve">Seeds </t>
  </si>
  <si>
    <t>Soil</t>
  </si>
  <si>
    <t>Pumpkin carving</t>
  </si>
  <si>
    <t>Planting flowers</t>
  </si>
  <si>
    <t>Flowers/tulips</t>
  </si>
  <si>
    <t>Halloween Party</t>
  </si>
  <si>
    <t>Venue</t>
  </si>
  <si>
    <t>DJ</t>
  </si>
  <si>
    <t>Decoration</t>
  </si>
  <si>
    <t>Photographer</t>
  </si>
  <si>
    <t>Free Drinks</t>
  </si>
  <si>
    <t>Winter Gala</t>
  </si>
  <si>
    <t>Early: 150 x 7€</t>
  </si>
  <si>
    <t>Regular: 200 x 9€</t>
  </si>
  <si>
    <t>Late/External: 50 x 10€</t>
  </si>
  <si>
    <t>Hypatia</t>
  </si>
  <si>
    <t xml:space="preserve"> Description</t>
  </si>
  <si>
    <t xml:space="preserve"> Cost</t>
  </si>
  <si>
    <t xml:space="preserve"> Tickets</t>
  </si>
  <si>
    <t xml:space="preserve"> Ticket Income</t>
  </si>
  <si>
    <t xml:space="preserve"> Request</t>
  </si>
  <si>
    <t>Feminist movie screening</t>
  </si>
  <si>
    <t>Wellness yoga safe space</t>
  </si>
  <si>
    <t>Hypatia Committee</t>
  </si>
  <si>
    <t xml:space="preserve">Radio Committee </t>
  </si>
  <si>
    <t xml:space="preserve">Radio monthly </t>
  </si>
  <si>
    <t xml:space="preserve">50 eur for 3 months </t>
  </si>
  <si>
    <t xml:space="preserve">50 per month </t>
  </si>
  <si>
    <t xml:space="preserve">subscription </t>
  </si>
  <si>
    <t xml:space="preserve">streaming </t>
  </si>
  <si>
    <t xml:space="preserve">Streaming license </t>
  </si>
  <si>
    <t xml:space="preserve">monthly streaming costs </t>
  </si>
  <si>
    <t>53.93 per month</t>
  </si>
  <si>
    <t xml:space="preserve"> Film screening x20</t>
  </si>
  <si>
    <t>(5 collaborations)</t>
  </si>
  <si>
    <t>Excursion to Lumiere</t>
  </si>
  <si>
    <t>Film Committee</t>
  </si>
  <si>
    <t>Philosophy Committee</t>
  </si>
  <si>
    <t>(collab w/Film Committee)</t>
  </si>
  <si>
    <t>Open Discussion: Why do we need philosophy?</t>
  </si>
  <si>
    <t>Gift for quest speaker (x3)</t>
  </si>
  <si>
    <t>Philosophy Essay Writing Workshop</t>
  </si>
  <si>
    <t>Wine Symposium: I Drink Therefore I Am</t>
  </si>
  <si>
    <t>Wine</t>
  </si>
  <si>
    <t>(collab w/SE)</t>
  </si>
  <si>
    <t xml:space="preserve">Graduation After-Party </t>
  </si>
  <si>
    <t>200 x 10€</t>
  </si>
  <si>
    <t>Venue (includes security &amp; 2 drink coins per person)</t>
  </si>
  <si>
    <t xml:space="preserve">Capstone Champagne </t>
  </si>
  <si>
    <t>Non-alcoholic champagne (10x5€)</t>
  </si>
  <si>
    <t>Burrito diner + cookies</t>
  </si>
  <si>
    <t>Dinner 2</t>
  </si>
  <si>
    <t>Groceries (to be decided)</t>
  </si>
  <si>
    <t>Dinner 3</t>
  </si>
  <si>
    <t>Dinner 4</t>
  </si>
  <si>
    <t>Fork yeah! Cooking Committee</t>
  </si>
  <si>
    <t>Spirtual Enlightenment</t>
  </si>
  <si>
    <t>French Wine Tasting (26th September)</t>
  </si>
  <si>
    <t>25 x 6€</t>
  </si>
  <si>
    <t>Snacks (including ice, for white wine)</t>
  </si>
  <si>
    <t>European Wines (31st October)</t>
  </si>
  <si>
    <t>Old World versus New World Wine (28th November)</t>
  </si>
  <si>
    <t>25 x 7€</t>
  </si>
  <si>
    <t>Monk and Trappist Beer tasting (14th November)</t>
  </si>
  <si>
    <t>Beer</t>
  </si>
  <si>
    <t>General Beer tasting (2nd October)</t>
  </si>
  <si>
    <t>30 x 6€</t>
  </si>
  <si>
    <t>Miscellaneous stuff</t>
  </si>
  <si>
    <t>Glasses for beer/cockails- To replace Broken ones (will be placed in the Universalis kitchen)</t>
  </si>
  <si>
    <t>1.50 per glass x 35</t>
  </si>
  <si>
    <t>Wine glasses- To replace Broken ones (will be placed in the Universalis kitchen)</t>
  </si>
  <si>
    <t>1.75 per glass x 20</t>
  </si>
  <si>
    <t>Cocktails (21st November)</t>
  </si>
  <si>
    <t>30 x 7€</t>
  </si>
  <si>
    <t>Alchol, Mixers, Garnish</t>
  </si>
  <si>
    <t>Cocktail Set 2nd hand</t>
  </si>
  <si>
    <t>Snacks (including ice, for drinks because who likes a warm cocktail)</t>
  </si>
  <si>
    <t>Social Dancing Party (3x)</t>
  </si>
  <si>
    <t>Recurring (i.e. after 3 lessons)</t>
  </si>
  <si>
    <t>Snacks &amp; Drinks (3x 12.5€)</t>
  </si>
  <si>
    <t>Dates: 7 Oct, 18 Nov, 20 Jan</t>
  </si>
  <si>
    <t>Decoration (reusable)</t>
  </si>
  <si>
    <t>Christmas Gala</t>
  </si>
  <si>
    <t>Dates: Tentative 27 Nov-6 Dec</t>
  </si>
  <si>
    <t>Snacks + Non-Alcoholic Drinks</t>
  </si>
  <si>
    <t>Themed Decoration</t>
  </si>
  <si>
    <t>Gifts for Guest Teachers</t>
  </si>
  <si>
    <t>Teachers (5x 10 €)</t>
  </si>
  <si>
    <t>Dates: tba, usually mondays</t>
  </si>
  <si>
    <t>Jazz Evenings</t>
  </si>
  <si>
    <t>First drink every eve = approx. 12 people per eve x 5€ (3x 60€)</t>
  </si>
  <si>
    <t>Dates: 13 Oct, 29 Oct, 26 Nov</t>
  </si>
  <si>
    <t>Games and Chess Committee</t>
  </si>
  <si>
    <t>Werewolves 1</t>
  </si>
  <si>
    <t>Werewolves game</t>
  </si>
  <si>
    <t>Chess tournament 1</t>
  </si>
  <si>
    <t>Chess tutorial</t>
  </si>
  <si>
    <t>Chess tournament 2</t>
  </si>
  <si>
    <t>Mixed games night 1</t>
  </si>
  <si>
    <t>Game material</t>
  </si>
  <si>
    <t>Chess tournament 3</t>
  </si>
  <si>
    <t>Werewolves 2</t>
  </si>
  <si>
    <t>Chess tournament 4</t>
  </si>
  <si>
    <t>Mixed games night 2</t>
  </si>
  <si>
    <t>Bingo night</t>
  </si>
  <si>
    <t>Bingo Cards</t>
  </si>
  <si>
    <t>Chess tournament 5</t>
  </si>
  <si>
    <t>20x4€</t>
  </si>
  <si>
    <t>props</t>
  </si>
  <si>
    <t>food</t>
  </si>
  <si>
    <t>wine</t>
  </si>
  <si>
    <t>Art + poetry event</t>
  </si>
  <si>
    <t>poetry supplies</t>
  </si>
  <si>
    <t>art supplies</t>
  </si>
  <si>
    <t>food+drinks</t>
  </si>
  <si>
    <t>new room supplies</t>
  </si>
  <si>
    <t>trash bags, mop, wipes, etc</t>
  </si>
  <si>
    <t>4x50€ (as per policy)</t>
  </si>
  <si>
    <t>Sexual safety lecture (Collab with AB &amp; sexual safety team)</t>
  </si>
  <si>
    <r>
      <t>Gl</t>
    </r>
    <r>
      <rPr>
        <u val="singleAccounting"/>
        <sz val="11"/>
        <color rgb="FF000000"/>
        <rFont val="Calibri (Body)"/>
      </rPr>
      <t>ühwein</t>
    </r>
  </si>
  <si>
    <t>Wintery snacks</t>
  </si>
  <si>
    <t>Chocomel</t>
  </si>
  <si>
    <t>Seasonal food</t>
  </si>
  <si>
    <t>Lecture 1</t>
  </si>
  <si>
    <t>Lecture 2</t>
  </si>
  <si>
    <t>Launch Party snacks</t>
  </si>
  <si>
    <t>                                   </t>
  </si>
  <si>
    <t>New tarp</t>
  </si>
  <si>
    <t>Tickets (20)</t>
  </si>
  <si>
    <t>Nonnevotte baking workshop</t>
  </si>
  <si>
    <t>Apple Picking</t>
  </si>
  <si>
    <t>20*€3</t>
  </si>
  <si>
    <t xml:space="preserve">Discussion panel (Collab with AB) </t>
  </si>
  <si>
    <t>Total requested budget</t>
  </si>
  <si>
    <t>Intro bring your own crafts!</t>
  </si>
  <si>
    <t>Ceramic plates project</t>
  </si>
  <si>
    <t xml:space="preserve">Learn how to crochet / knit </t>
  </si>
  <si>
    <t>Halloween themed crafts</t>
  </si>
  <si>
    <t>Winter themed holiday card making</t>
  </si>
  <si>
    <t xml:space="preserve">Mood board </t>
  </si>
  <si>
    <t>LBB Party (collab with Music committee)</t>
  </si>
  <si>
    <t xml:space="preserve"> Snacks x3</t>
  </si>
  <si>
    <t xml:space="preserve"> Renting movie x3</t>
  </si>
  <si>
    <t>Screening &amp; Discussion</t>
  </si>
  <si>
    <t>3€ x 25</t>
  </si>
  <si>
    <t>GA</t>
  </si>
  <si>
    <t>The poetic cave (Exco collab)</t>
  </si>
  <si>
    <t>Matching event (Music collab)</t>
  </si>
  <si>
    <t>Poetry workshop</t>
  </si>
  <si>
    <t>Bi weekly meeting</t>
  </si>
  <si>
    <t>Dutch mileage rate: 0,23€/km * 150km * 5 cars</t>
  </si>
  <si>
    <t>Gas: 0,23€/km * 150km * 5 cars</t>
  </si>
  <si>
    <t>Gas: 0,23€/km * 200km * 3 cars</t>
  </si>
  <si>
    <t xml:space="preserve">Football </t>
  </si>
  <si>
    <r>
      <t>30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x 5€</t>
    </r>
  </si>
  <si>
    <t>Football away games</t>
  </si>
  <si>
    <t>Groceries (potatoes, cauliflower, chickpea, spinach, tortilla, spices + flour, chocolate, coconut...)</t>
  </si>
  <si>
    <t>Gay Agenda collab decos</t>
  </si>
  <si>
    <t>Waffles</t>
  </si>
  <si>
    <t>Hot choc</t>
  </si>
  <si>
    <t>Snacks (9 events)</t>
  </si>
  <si>
    <t>Pumpkin (15 x 8€)</t>
  </si>
  <si>
    <t>Vlaai (3 x 17€)</t>
  </si>
  <si>
    <t>Heartstopper screening x3</t>
  </si>
  <si>
    <t>20 x 56€</t>
  </si>
  <si>
    <t>Politics</t>
  </si>
  <si>
    <t>Crafts</t>
  </si>
  <si>
    <t>Radio</t>
  </si>
  <si>
    <t>Games</t>
  </si>
  <si>
    <t>Cooking</t>
  </si>
  <si>
    <t xml:space="preserve">Limburg </t>
  </si>
  <si>
    <t>Final discussion/Epilogue</t>
  </si>
  <si>
    <t>Reading/chatting &amp; snacks</t>
  </si>
  <si>
    <t>Garden</t>
  </si>
  <si>
    <t>Bonding money (4x50€) (as per policy)</t>
  </si>
  <si>
    <t>Monthly pitch agreement 15 x 30€</t>
  </si>
  <si>
    <t>Wine (8€ *9 bottles)</t>
  </si>
  <si>
    <t>snacks (3x 12.5€)</t>
  </si>
  <si>
    <t>Snacks (4x 12.5€)</t>
  </si>
  <si>
    <t xml:space="preserve">Holiday event and sharing circle </t>
  </si>
  <si>
    <t xml:space="preserve"> stickers</t>
  </si>
  <si>
    <t>Balls 4x 30,00€</t>
  </si>
  <si>
    <t>Editing software: premiere (20€/5 month)</t>
  </si>
  <si>
    <t xml:space="preserve">(Oct, Nov, Jan) </t>
  </si>
  <si>
    <t>4,6€/ person</t>
  </si>
  <si>
    <t>Ingredients (20€ x 13)</t>
  </si>
  <si>
    <t>Bottles of champagne (40x5€)</t>
  </si>
  <si>
    <t>Glass pitchers</t>
  </si>
  <si>
    <t>Limburgish Beer (40 x 1.5€)</t>
  </si>
  <si>
    <t>40 x 1.5 €</t>
  </si>
  <si>
    <t>Snacks (12.5€ x 20)</t>
  </si>
  <si>
    <t>Film rental (4€ x 20)</t>
  </si>
  <si>
    <t>Price (8€ per ticket)</t>
  </si>
  <si>
    <t>Prizes (3x10€)</t>
  </si>
  <si>
    <t>Friendship bracelets &amp; embroidery event</t>
  </si>
  <si>
    <t>Dinner 5</t>
  </si>
  <si>
    <t>Snacks 2 x 12.5€</t>
  </si>
  <si>
    <t>2*12.5</t>
  </si>
  <si>
    <t>Snacks (10€)</t>
  </si>
  <si>
    <t xml:space="preserve">Movie rental (5€) </t>
  </si>
  <si>
    <t>Sharing circle</t>
  </si>
  <si>
    <t>Gifts for models</t>
  </si>
  <si>
    <t>200 x 7€</t>
  </si>
  <si>
    <t>25 x €7</t>
  </si>
  <si>
    <t>Fences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</si>
</sst>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#,##0\ &quot;€&quot;;[Red]\-#,##0\ &quot;€&quot;"/>
    <numFmt numFmtId="165" formatCode="#,##0.00\ &quot;€&quot;;[Red]\-#,##0.00\ &quot;€&quot;"/>
    <numFmt numFmtId="166" formatCode="_-* #,##0.00\ &quot;€&quot;_-;\-* #,##0.00\ &quot;€&quot;_-;_-* &quot;-&quot;??\ &quot;€&quot;_-;_-@_-"/>
    <numFmt numFmtId="167" formatCode="_ &quot;€&quot;\ * #,##0.00_ ;_ &quot;€&quot;\ * \-#,##0.00_ ;_ &quot;€&quot;\ * &quot;-&quot;??_ ;_ @_ "/>
    <numFmt numFmtId="168" formatCode="_-* #,##0.00\ &quot;€&quot;_-;\-* #,##0.00\ &quot;€&quot;_-;_-* &quot;-&quot;??\ &quot;€&quot;_-;_-@"/>
    <numFmt numFmtId="169" formatCode="_-* #,##0.00\ [$€-1]_-;\-* #,##0.00\ [$€-1]_-;_-* &quot;-&quot;??\ [$€-1]_-;_-@_-"/>
    <numFmt numFmtId="170" formatCode="[$€-2]\ #,##0.00;[Red]\-[$€-2]\ #,##0.00"/>
    <numFmt numFmtId="171" formatCode="#,##0\ [$€-1];[Red]\-#,##0\ [$€-1]"/>
    <numFmt numFmtId="172" formatCode="#,##0.00\ [$€-1];[Red]\-#,##0.00\ [$€-1]"/>
    <numFmt numFmtId="173" formatCode="&quot; &quot;* #,##0.00&quot; &quot;[$€]&quot; &quot;;&quot;-&quot;* #,##0.00&quot; &quot;[$€]&quot; &quot;;&quot; &quot;* &quot;-&quot;#&quot; &quot;[$€]&quot; &quot;;&quot; &quot;@&quot; &quot;"/>
    <numFmt numFmtId="174" formatCode="#,##0.0\ [$€-1];[Red]\-#,##0.0\ [$€-1]"/>
    <numFmt numFmtId="175" formatCode="#,##0.0\ &quot;€&quot;;[Red]\-#,##0.0\ &quot;€&quot;"/>
    <numFmt numFmtId="176" formatCode="#,##0.00\ [$€-1]"/>
  </numFmts>
  <fonts count="3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Aptos Narrow"/>
    </font>
    <font>
      <sz val="12"/>
      <color theme="1"/>
      <name val="Arial"/>
      <family val="2"/>
    </font>
    <font>
      <sz val="12"/>
      <color theme="1"/>
      <name val="Aptos Narrow"/>
    </font>
    <font>
      <sz val="12"/>
      <color theme="1"/>
      <name val="Helvetica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 val="singleAccounting"/>
      <sz val="18"/>
      <color theme="1"/>
      <name val="Calibri (Body)"/>
    </font>
    <font>
      <b/>
      <sz val="20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Calibri"/>
      <family val="2"/>
    </font>
    <font>
      <sz val="12"/>
      <color theme="1"/>
      <name val="Calibri"/>
      <family val="2"/>
    </font>
    <font>
      <u val="singleAccounting"/>
      <sz val="11"/>
      <color rgb="FF000000"/>
      <name val="Calibri (Body)"/>
    </font>
    <font>
      <b/>
      <sz val="19"/>
      <color rgb="FF000000"/>
      <name val="Helvetica"/>
      <family val="2"/>
    </font>
    <font>
      <b/>
      <sz val="11"/>
      <color rgb="FF000000"/>
      <name val="Helvetica"/>
      <family val="2"/>
    </font>
    <font>
      <b/>
      <sz val="9"/>
      <color theme="1"/>
      <name val="Calibri"/>
      <family val="2"/>
      <scheme val="minor"/>
    </font>
    <font>
      <sz val="11"/>
      <color theme="1"/>
      <name val="Aptos Narrow (Body)"/>
    </font>
    <font>
      <b/>
      <sz val="12"/>
      <name val="Calibri"/>
      <family val="2"/>
      <scheme val="minor"/>
    </font>
    <font>
      <b/>
      <sz val="11"/>
      <color theme="1"/>
      <name val="Calibri (Body)"/>
    </font>
    <font>
      <sz val="11"/>
      <color theme="1"/>
      <name val="Calibri (Body)"/>
    </font>
    <font>
      <b/>
      <sz val="11"/>
      <color rgb="FF000000"/>
      <name val="Calibri (Body)"/>
    </font>
    <font>
      <sz val="11"/>
      <color rgb="FF000000"/>
      <name val="Calibri (Body)"/>
    </font>
    <font>
      <b/>
      <sz val="18"/>
      <color rgb="FF000000"/>
      <name val="Calibri"/>
      <family val="2"/>
      <scheme val="minor"/>
    </font>
    <font>
      <b/>
      <u/>
      <sz val="18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BDD6EE"/>
        <bgColor rgb="FFBDD6EE"/>
      </patternFill>
    </fill>
    <fill>
      <patternFill patternType="solid">
        <fgColor rgb="FFDEEAF6"/>
        <bgColor rgb="FFDEEAF6"/>
      </patternFill>
    </fill>
    <fill>
      <patternFill patternType="solid">
        <fgColor theme="8" tint="0.59999389629810485"/>
        <bgColor rgb="FFFFF2CC"/>
      </patternFill>
    </fill>
    <fill>
      <patternFill patternType="solid">
        <fgColor theme="8" tint="0.79998168889431442"/>
        <bgColor rgb="FFFFD966"/>
      </patternFill>
    </fill>
    <fill>
      <patternFill patternType="solid">
        <fgColor theme="8" tint="0.79998168889431442"/>
        <bgColor rgb="FFF1CEEE"/>
      </patternFill>
    </fill>
    <fill>
      <patternFill patternType="solid">
        <fgColor theme="8" tint="0.59999389629810485"/>
        <bgColor rgb="FFE49EDD"/>
      </patternFill>
    </fill>
    <fill>
      <patternFill patternType="solid">
        <fgColor theme="8" tint="0.79998168889431442"/>
        <bgColor rgb="FFF2CEEF"/>
      </patternFill>
    </fill>
    <fill>
      <patternFill patternType="solid">
        <fgColor rgb="FFBDD7EE"/>
        <bgColor rgb="FF000000"/>
      </patternFill>
    </fill>
  </fills>
  <borders count="3">
    <border>
      <left/>
      <right/>
      <top/>
      <bottom/>
      <diagonal/>
    </border>
    <border>
      <left/>
      <right style="dotted">
        <color rgb="FFBFBFBF"/>
      </right>
      <top/>
      <bottom/>
      <diagonal/>
    </border>
    <border>
      <left style="dotted">
        <color rgb="FFBFBFBF"/>
      </left>
      <right style="dotted">
        <color rgb="FFBFBFBF"/>
      </right>
      <top/>
      <bottom/>
      <diagonal/>
    </border>
  </borders>
  <cellStyleXfs count="5">
    <xf numFmtId="0" fontId="0" fillId="0" borderId="0"/>
    <xf numFmtId="0" fontId="6" fillId="0" borderId="0"/>
    <xf numFmtId="167" fontId="6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185">
    <xf numFmtId="0" fontId="0" fillId="0" borderId="0" xfId="0"/>
    <xf numFmtId="0" fontId="4" fillId="0" borderId="0" xfId="0" applyFont="1"/>
    <xf numFmtId="166" fontId="0" fillId="0" borderId="0" xfId="0" applyNumberFormat="1"/>
    <xf numFmtId="0" fontId="3" fillId="0" borderId="0" xfId="0" applyFont="1"/>
    <xf numFmtId="166" fontId="3" fillId="0" borderId="0" xfId="0" applyNumberFormat="1" applyFont="1"/>
    <xf numFmtId="166" fontId="0" fillId="2" borderId="0" xfId="0" applyNumberFormat="1" applyFill="1"/>
    <xf numFmtId="166" fontId="0" fillId="3" borderId="0" xfId="0" applyNumberFormat="1" applyFill="1"/>
    <xf numFmtId="166" fontId="5" fillId="3" borderId="0" xfId="0" applyNumberFormat="1" applyFont="1" applyFill="1"/>
    <xf numFmtId="166" fontId="5" fillId="2" borderId="0" xfId="0" applyNumberFormat="1" applyFont="1" applyFill="1"/>
    <xf numFmtId="0" fontId="3" fillId="0" borderId="0" xfId="1" applyFont="1"/>
    <xf numFmtId="0" fontId="6" fillId="0" borderId="0" xfId="1"/>
    <xf numFmtId="166" fontId="6" fillId="0" borderId="0" xfId="1" applyNumberFormat="1"/>
    <xf numFmtId="0" fontId="7" fillId="0" borderId="0" xfId="0" applyFont="1"/>
    <xf numFmtId="0" fontId="5" fillId="0" borderId="0" xfId="0" applyFont="1"/>
    <xf numFmtId="166" fontId="5" fillId="0" borderId="0" xfId="0" applyNumberFormat="1" applyFont="1"/>
    <xf numFmtId="168" fontId="5" fillId="0" borderId="0" xfId="0" applyNumberFormat="1" applyFont="1"/>
    <xf numFmtId="166" fontId="5" fillId="3" borderId="0" xfId="0" applyNumberFormat="1" applyFont="1" applyFill="1" applyAlignment="1">
      <alignment wrapText="1"/>
    </xf>
    <xf numFmtId="166" fontId="0" fillId="2" borderId="0" xfId="0" applyNumberFormat="1" applyFill="1" applyAlignment="1">
      <alignment wrapText="1"/>
    </xf>
    <xf numFmtId="166" fontId="5" fillId="2" borderId="0" xfId="0" applyNumberFormat="1" applyFont="1" applyFill="1" applyAlignment="1">
      <alignment wrapText="1"/>
    </xf>
    <xf numFmtId="0" fontId="3" fillId="3" borderId="0" xfId="0" applyFont="1" applyFill="1"/>
    <xf numFmtId="0" fontId="3" fillId="2" borderId="0" xfId="0" applyFont="1" applyFill="1"/>
    <xf numFmtId="0" fontId="8" fillId="2" borderId="0" xfId="0" applyFont="1" applyFill="1" applyAlignment="1">
      <alignment wrapText="1"/>
    </xf>
    <xf numFmtId="0" fontId="8" fillId="3" borderId="0" xfId="0" applyFont="1" applyFill="1" applyAlignment="1">
      <alignment wrapText="1"/>
    </xf>
    <xf numFmtId="167" fontId="6" fillId="0" borderId="0" xfId="2"/>
    <xf numFmtId="0" fontId="5" fillId="2" borderId="0" xfId="0" applyFont="1" applyFill="1" applyAlignment="1">
      <alignment wrapText="1"/>
    </xf>
    <xf numFmtId="0" fontId="0" fillId="2" borderId="0" xfId="0" applyFill="1"/>
    <xf numFmtId="0" fontId="0" fillId="3" borderId="0" xfId="0" applyFill="1"/>
    <xf numFmtId="0" fontId="5" fillId="3" borderId="0" xfId="0" applyFont="1" applyFill="1" applyAlignment="1">
      <alignment wrapText="1"/>
    </xf>
    <xf numFmtId="166" fontId="5" fillId="3" borderId="0" xfId="0" applyNumberFormat="1" applyFont="1" applyFill="1" applyAlignment="1">
      <alignment horizontal="right"/>
    </xf>
    <xf numFmtId="0" fontId="5" fillId="2" borderId="0" xfId="0" applyFont="1" applyFill="1"/>
    <xf numFmtId="0" fontId="11" fillId="0" borderId="0" xfId="0" applyFont="1"/>
    <xf numFmtId="0" fontId="14" fillId="0" borderId="0" xfId="0" applyFont="1"/>
    <xf numFmtId="0" fontId="15" fillId="0" borderId="0" xfId="0" applyFont="1"/>
    <xf numFmtId="166" fontId="0" fillId="2" borderId="0" xfId="0" applyNumberFormat="1" applyFill="1" applyAlignment="1">
      <alignment vertical="center"/>
    </xf>
    <xf numFmtId="166" fontId="0" fillId="3" borderId="0" xfId="0" applyNumberFormat="1" applyFill="1" applyAlignment="1">
      <alignment vertical="center"/>
    </xf>
    <xf numFmtId="171" fontId="0" fillId="3" borderId="0" xfId="0" applyNumberFormat="1" applyFill="1"/>
    <xf numFmtId="166" fontId="5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 wrapText="1"/>
    </xf>
    <xf numFmtId="171" fontId="0" fillId="2" borderId="0" xfId="0" applyNumberFormat="1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wrapText="1"/>
    </xf>
    <xf numFmtId="172" fontId="0" fillId="2" borderId="0" xfId="0" applyNumberFormat="1" applyFill="1"/>
    <xf numFmtId="172" fontId="0" fillId="0" borderId="0" xfId="0" applyNumberFormat="1"/>
    <xf numFmtId="164" fontId="0" fillId="2" borderId="0" xfId="0" applyNumberFormat="1" applyFill="1"/>
    <xf numFmtId="165" fontId="0" fillId="2" borderId="0" xfId="0" applyNumberFormat="1" applyFill="1"/>
    <xf numFmtId="164" fontId="0" fillId="3" borderId="0" xfId="0" applyNumberFormat="1" applyFill="1"/>
    <xf numFmtId="165" fontId="0" fillId="3" borderId="0" xfId="0" applyNumberFormat="1" applyFill="1"/>
    <xf numFmtId="164" fontId="5" fillId="2" borderId="0" xfId="0" applyNumberFormat="1" applyFont="1" applyFill="1"/>
    <xf numFmtId="166" fontId="16" fillId="3" borderId="0" xfId="0" applyNumberFormat="1" applyFont="1" applyFill="1"/>
    <xf numFmtId="166" fontId="17" fillId="0" borderId="0" xfId="0" applyNumberFormat="1" applyFont="1"/>
    <xf numFmtId="166" fontId="18" fillId="0" borderId="0" xfId="0" applyNumberFormat="1" applyFont="1"/>
    <xf numFmtId="0" fontId="19" fillId="0" borderId="0" xfId="0" applyFont="1"/>
    <xf numFmtId="0" fontId="13" fillId="0" borderId="0" xfId="0" applyFont="1"/>
    <xf numFmtId="0" fontId="12" fillId="0" borderId="0" xfId="0" applyFont="1"/>
    <xf numFmtId="0" fontId="2" fillId="0" borderId="0" xfId="0" applyFont="1"/>
    <xf numFmtId="166" fontId="0" fillId="3" borderId="0" xfId="0" applyNumberFormat="1" applyFill="1" applyAlignment="1">
      <alignment wrapText="1"/>
    </xf>
    <xf numFmtId="0" fontId="22" fillId="0" borderId="0" xfId="0" applyFont="1"/>
    <xf numFmtId="168" fontId="12" fillId="0" borderId="0" xfId="0" applyNumberFormat="1" applyFont="1"/>
    <xf numFmtId="168" fontId="15" fillId="0" borderId="0" xfId="0" applyNumberFormat="1" applyFont="1"/>
    <xf numFmtId="0" fontId="23" fillId="0" borderId="0" xfId="0" applyFont="1"/>
    <xf numFmtId="0" fontId="10" fillId="8" borderId="0" xfId="0" applyFont="1" applyFill="1"/>
    <xf numFmtId="168" fontId="10" fillId="8" borderId="0" xfId="0" applyNumberFormat="1" applyFont="1" applyFill="1"/>
    <xf numFmtId="168" fontId="10" fillId="9" borderId="0" xfId="0" applyNumberFormat="1" applyFont="1" applyFill="1"/>
    <xf numFmtId="0" fontId="15" fillId="8" borderId="0" xfId="0" applyFont="1" applyFill="1"/>
    <xf numFmtId="168" fontId="10" fillId="8" borderId="0" xfId="0" applyNumberFormat="1" applyFont="1" applyFill="1" applyAlignment="1">
      <alignment wrapText="1"/>
    </xf>
    <xf numFmtId="165" fontId="5" fillId="2" borderId="0" xfId="0" applyNumberFormat="1" applyFont="1" applyFill="1"/>
    <xf numFmtId="165" fontId="5" fillId="3" borderId="0" xfId="0" applyNumberFormat="1" applyFont="1" applyFill="1"/>
    <xf numFmtId="0" fontId="8" fillId="3" borderId="0" xfId="0" applyFont="1" applyFill="1"/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5" fillId="0" borderId="0" xfId="0" applyFont="1"/>
    <xf numFmtId="0" fontId="26" fillId="0" borderId="0" xfId="0" applyFont="1"/>
    <xf numFmtId="174" fontId="0" fillId="2" borderId="0" xfId="0" applyNumberFormat="1" applyFill="1"/>
    <xf numFmtId="43" fontId="0" fillId="0" borderId="0" xfId="0" applyNumberFormat="1"/>
    <xf numFmtId="172" fontId="0" fillId="3" borderId="0" xfId="0" applyNumberFormat="1" applyFill="1"/>
    <xf numFmtId="0" fontId="9" fillId="2" borderId="0" xfId="0" applyFont="1" applyFill="1" applyAlignment="1">
      <alignment wrapText="1"/>
    </xf>
    <xf numFmtId="0" fontId="27" fillId="2" borderId="0" xfId="0" applyFont="1" applyFill="1" applyAlignment="1">
      <alignment wrapText="1"/>
    </xf>
    <xf numFmtId="0" fontId="9" fillId="3" borderId="0" xfId="0" applyFont="1" applyFill="1" applyAlignment="1">
      <alignment wrapText="1"/>
    </xf>
    <xf numFmtId="0" fontId="27" fillId="3" borderId="0" xfId="0" applyFont="1" applyFill="1" applyAlignment="1">
      <alignment wrapText="1"/>
    </xf>
    <xf numFmtId="175" fontId="5" fillId="2" borderId="0" xfId="0" applyNumberFormat="1" applyFont="1" applyFill="1"/>
    <xf numFmtId="172" fontId="3" fillId="0" borderId="0" xfId="0" applyNumberFormat="1" applyFont="1"/>
    <xf numFmtId="170" fontId="5" fillId="2" borderId="0" xfId="0" applyNumberFormat="1" applyFont="1" applyFill="1"/>
    <xf numFmtId="170" fontId="5" fillId="3" borderId="0" xfId="0" applyNumberFormat="1" applyFont="1" applyFill="1"/>
    <xf numFmtId="0" fontId="8" fillId="0" borderId="0" xfId="0" applyFont="1"/>
    <xf numFmtId="0" fontId="1" fillId="0" borderId="0" xfId="0" applyFont="1"/>
    <xf numFmtId="0" fontId="9" fillId="2" borderId="0" xfId="0" applyFont="1" applyFill="1"/>
    <xf numFmtId="0" fontId="8" fillId="2" borderId="0" xfId="0" applyFont="1" applyFill="1"/>
    <xf numFmtId="170" fontId="8" fillId="0" borderId="0" xfId="0" applyNumberFormat="1" applyFont="1"/>
    <xf numFmtId="2" fontId="11" fillId="0" borderId="0" xfId="0" applyNumberFormat="1" applyFont="1"/>
    <xf numFmtId="166" fontId="5" fillId="13" borderId="0" xfId="0" applyNumberFormat="1" applyFont="1" applyFill="1"/>
    <xf numFmtId="176" fontId="0" fillId="2" borderId="0" xfId="2" applyNumberFormat="1" applyFont="1" applyFill="1"/>
    <xf numFmtId="176" fontId="0" fillId="3" borderId="0" xfId="2" applyNumberFormat="1" applyFont="1" applyFill="1"/>
    <xf numFmtId="176" fontId="5" fillId="2" borderId="0" xfId="2" applyNumberFormat="1" applyFont="1" applyFill="1"/>
    <xf numFmtId="176" fontId="5" fillId="3" borderId="0" xfId="2" applyNumberFormat="1" applyFont="1" applyFill="1"/>
    <xf numFmtId="176" fontId="0" fillId="0" borderId="0" xfId="2" applyNumberFormat="1" applyFont="1"/>
    <xf numFmtId="176" fontId="3" fillId="0" borderId="0" xfId="2" applyNumberFormat="1" applyFont="1"/>
    <xf numFmtId="176" fontId="6" fillId="0" borderId="0" xfId="2" applyNumberFormat="1"/>
    <xf numFmtId="176" fontId="6" fillId="0" borderId="0" xfId="2" applyNumberFormat="1" applyFont="1"/>
    <xf numFmtId="176" fontId="5" fillId="0" borderId="0" xfId="2" applyNumberFormat="1" applyFont="1"/>
    <xf numFmtId="176" fontId="0" fillId="0" borderId="0" xfId="0" applyNumberFormat="1"/>
    <xf numFmtId="168" fontId="3" fillId="0" borderId="0" xfId="0" applyNumberFormat="1" applyFont="1"/>
    <xf numFmtId="168" fontId="5" fillId="10" borderId="0" xfId="0" applyNumberFormat="1" applyFont="1" applyFill="1" applyAlignment="1">
      <alignment vertical="top"/>
    </xf>
    <xf numFmtId="168" fontId="5" fillId="11" borderId="0" xfId="0" applyNumberFormat="1" applyFont="1" applyFill="1"/>
    <xf numFmtId="168" fontId="0" fillId="10" borderId="0" xfId="0" applyNumberFormat="1" applyFill="1"/>
    <xf numFmtId="168" fontId="0" fillId="11" borderId="0" xfId="0" applyNumberFormat="1" applyFill="1" applyAlignment="1">
      <alignment vertical="top"/>
    </xf>
    <xf numFmtId="168" fontId="0" fillId="0" borderId="0" xfId="0" applyNumberFormat="1"/>
    <xf numFmtId="0" fontId="3" fillId="10" borderId="0" xfId="0" applyFont="1" applyFill="1" applyAlignment="1">
      <alignment wrapText="1"/>
    </xf>
    <xf numFmtId="0" fontId="3" fillId="11" borderId="0" xfId="0" applyFont="1" applyFill="1" applyAlignment="1">
      <alignment wrapText="1"/>
    </xf>
    <xf numFmtId="0" fontId="8" fillId="10" borderId="0" xfId="0" applyFont="1" applyFill="1" applyAlignment="1">
      <alignment wrapText="1"/>
    </xf>
    <xf numFmtId="0" fontId="8" fillId="11" borderId="0" xfId="0" applyFont="1" applyFill="1" applyAlignment="1">
      <alignment wrapText="1"/>
    </xf>
    <xf numFmtId="166" fontId="28" fillId="2" borderId="0" xfId="0" applyNumberFormat="1" applyFont="1" applyFill="1"/>
    <xf numFmtId="0" fontId="29" fillId="2" borderId="0" xfId="0" applyFont="1" applyFill="1" applyAlignment="1">
      <alignment wrapText="1"/>
    </xf>
    <xf numFmtId="0" fontId="0" fillId="4" borderId="0" xfId="3" applyFont="1"/>
    <xf numFmtId="166" fontId="0" fillId="4" borderId="0" xfId="3" applyNumberFormat="1" applyFont="1"/>
    <xf numFmtId="0" fontId="3" fillId="5" borderId="0" xfId="4" applyFont="1" applyAlignment="1">
      <alignment wrapText="1"/>
    </xf>
    <xf numFmtId="166" fontId="0" fillId="5" borderId="0" xfId="4" applyNumberFormat="1" applyFont="1"/>
    <xf numFmtId="0" fontId="3" fillId="4" borderId="0" xfId="3" applyFont="1" applyAlignment="1">
      <alignment wrapText="1"/>
    </xf>
    <xf numFmtId="0" fontId="3" fillId="3" borderId="0" xfId="3" applyFont="1" applyFill="1" applyAlignment="1">
      <alignment wrapText="1"/>
    </xf>
    <xf numFmtId="0" fontId="0" fillId="3" borderId="0" xfId="3" applyFont="1" applyFill="1"/>
    <xf numFmtId="166" fontId="0" fillId="3" borderId="0" xfId="3" applyNumberFormat="1" applyFont="1" applyFill="1"/>
    <xf numFmtId="0" fontId="3" fillId="2" borderId="0" xfId="4" applyFont="1" applyFill="1" applyAlignment="1">
      <alignment wrapText="1"/>
    </xf>
    <xf numFmtId="0" fontId="0" fillId="2" borderId="0" xfId="4" applyFont="1" applyFill="1"/>
    <xf numFmtId="166" fontId="0" fillId="2" borderId="0" xfId="4" applyNumberFormat="1" applyFont="1" applyFill="1"/>
    <xf numFmtId="0" fontId="3" fillId="0" borderId="0" xfId="4" applyFont="1" applyFill="1"/>
    <xf numFmtId="0" fontId="30" fillId="0" borderId="0" xfId="0" applyFont="1" applyAlignment="1">
      <alignment horizontal="left"/>
    </xf>
    <xf numFmtId="0" fontId="30" fillId="0" borderId="1" xfId="0" applyFont="1" applyBorder="1" applyAlignment="1">
      <alignment horizontal="right"/>
    </xf>
    <xf numFmtId="0" fontId="30" fillId="0" borderId="2" xfId="0" applyFont="1" applyBorder="1" applyAlignment="1">
      <alignment horizontal="right"/>
    </xf>
    <xf numFmtId="0" fontId="31" fillId="0" borderId="0" xfId="0" applyFont="1"/>
    <xf numFmtId="0" fontId="30" fillId="6" borderId="0" xfId="0" applyFont="1" applyFill="1"/>
    <xf numFmtId="168" fontId="31" fillId="6" borderId="0" xfId="0" applyNumberFormat="1" applyFont="1" applyFill="1"/>
    <xf numFmtId="168" fontId="31" fillId="6" borderId="0" xfId="0" applyNumberFormat="1" applyFont="1" applyFill="1" applyAlignment="1">
      <alignment horizontal="right"/>
    </xf>
    <xf numFmtId="0" fontId="30" fillId="6" borderId="0" xfId="0" applyFont="1" applyFill="1" applyAlignment="1">
      <alignment wrapText="1"/>
    </xf>
    <xf numFmtId="168" fontId="31" fillId="6" borderId="0" xfId="0" applyNumberFormat="1" applyFont="1" applyFill="1" applyAlignment="1">
      <alignment wrapText="1"/>
    </xf>
    <xf numFmtId="0" fontId="32" fillId="7" borderId="0" xfId="0" applyFont="1" applyFill="1" applyAlignment="1">
      <alignment wrapText="1"/>
    </xf>
    <xf numFmtId="168" fontId="33" fillId="7" borderId="0" xfId="0" applyNumberFormat="1" applyFont="1" applyFill="1" applyAlignment="1">
      <alignment wrapText="1"/>
    </xf>
    <xf numFmtId="168" fontId="33" fillId="7" borderId="0" xfId="0" applyNumberFormat="1" applyFont="1" applyFill="1"/>
    <xf numFmtId="168" fontId="31" fillId="7" borderId="0" xfId="0" applyNumberFormat="1" applyFont="1" applyFill="1" applyAlignment="1">
      <alignment horizontal="right"/>
    </xf>
    <xf numFmtId="168" fontId="31" fillId="7" borderId="0" xfId="0" applyNumberFormat="1" applyFont="1" applyFill="1"/>
    <xf numFmtId="168" fontId="33" fillId="7" borderId="0" xfId="0" applyNumberFormat="1" applyFont="1" applyFill="1" applyAlignment="1">
      <alignment horizontal="right"/>
    </xf>
    <xf numFmtId="168" fontId="30" fillId="6" borderId="0" xfId="0" applyNumberFormat="1" applyFont="1" applyFill="1" applyAlignment="1">
      <alignment wrapText="1"/>
    </xf>
    <xf numFmtId="168" fontId="30" fillId="7" borderId="0" xfId="0" applyNumberFormat="1" applyFont="1" applyFill="1" applyAlignment="1">
      <alignment wrapText="1"/>
    </xf>
    <xf numFmtId="168" fontId="31" fillId="7" borderId="0" xfId="0" applyNumberFormat="1" applyFont="1" applyFill="1" applyAlignment="1">
      <alignment wrapText="1"/>
    </xf>
    <xf numFmtId="0" fontId="30" fillId="7" borderId="0" xfId="0" applyFont="1" applyFill="1" applyAlignment="1">
      <alignment wrapText="1"/>
    </xf>
    <xf numFmtId="0" fontId="32" fillId="6" borderId="0" xfId="0" applyFont="1" applyFill="1" applyAlignment="1">
      <alignment wrapText="1"/>
    </xf>
    <xf numFmtId="168" fontId="33" fillId="6" borderId="0" xfId="0" applyNumberFormat="1" applyFont="1" applyFill="1" applyAlignment="1">
      <alignment wrapText="1"/>
    </xf>
    <xf numFmtId="168" fontId="33" fillId="6" borderId="0" xfId="0" applyNumberFormat="1" applyFont="1" applyFill="1"/>
    <xf numFmtId="168" fontId="33" fillId="6" borderId="0" xfId="0" applyNumberFormat="1" applyFont="1" applyFill="1" applyAlignment="1">
      <alignment horizontal="right"/>
    </xf>
    <xf numFmtId="0" fontId="30" fillId="0" borderId="0" xfId="0" applyFont="1"/>
    <xf numFmtId="168" fontId="31" fillId="0" borderId="0" xfId="0" applyNumberFormat="1" applyFont="1"/>
    <xf numFmtId="168" fontId="31" fillId="0" borderId="1" xfId="0" applyNumberFormat="1" applyFont="1" applyBorder="1"/>
    <xf numFmtId="168" fontId="31" fillId="0" borderId="2" xfId="0" applyNumberFormat="1" applyFont="1" applyBorder="1" applyAlignment="1">
      <alignment horizontal="right"/>
    </xf>
    <xf numFmtId="168" fontId="31" fillId="0" borderId="2" xfId="0" applyNumberFormat="1" applyFont="1" applyBorder="1"/>
    <xf numFmtId="168" fontId="30" fillId="0" borderId="2" xfId="0" applyNumberFormat="1" applyFont="1" applyBorder="1"/>
    <xf numFmtId="0" fontId="3" fillId="12" borderId="0" xfId="0" applyFont="1" applyFill="1"/>
    <xf numFmtId="0" fontId="3" fillId="11" borderId="0" xfId="0" applyFont="1" applyFill="1"/>
    <xf numFmtId="0" fontId="3" fillId="12" borderId="0" xfId="0" applyFont="1" applyFill="1" applyAlignment="1">
      <alignment wrapText="1"/>
    </xf>
    <xf numFmtId="0" fontId="15" fillId="9" borderId="0" xfId="0" applyFont="1" applyFill="1"/>
    <xf numFmtId="176" fontId="10" fillId="9" borderId="0" xfId="0" applyNumberFormat="1" applyFont="1" applyFill="1"/>
    <xf numFmtId="176" fontId="10" fillId="9" borderId="0" xfId="0" applyNumberFormat="1" applyFont="1" applyFill="1" applyAlignment="1">
      <alignment horizontal="right"/>
    </xf>
    <xf numFmtId="176" fontId="10" fillId="8" borderId="0" xfId="0" applyNumberFormat="1" applyFont="1" applyFill="1"/>
    <xf numFmtId="176" fontId="10" fillId="8" borderId="0" xfId="0" applyNumberFormat="1" applyFont="1" applyFill="1" applyAlignment="1">
      <alignment horizontal="right"/>
    </xf>
    <xf numFmtId="176" fontId="23" fillId="8" borderId="0" xfId="0" applyNumberFormat="1" applyFont="1" applyFill="1"/>
    <xf numFmtId="176" fontId="15" fillId="8" borderId="0" xfId="0" applyNumberFormat="1" applyFont="1" applyFill="1" applyAlignment="1">
      <alignment horizontal="right"/>
    </xf>
    <xf numFmtId="176" fontId="23" fillId="0" borderId="0" xfId="0" applyNumberFormat="1" applyFont="1"/>
    <xf numFmtId="176" fontId="1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8" fillId="2" borderId="0" xfId="0" applyNumberFormat="1" applyFont="1" applyFill="1" applyAlignment="1">
      <alignment wrapText="1"/>
    </xf>
    <xf numFmtId="0" fontId="0" fillId="3" borderId="0" xfId="0" applyFill="1" applyAlignment="1">
      <alignment wrapText="1"/>
    </xf>
    <xf numFmtId="169" fontId="0" fillId="3" borderId="0" xfId="0" applyNumberFormat="1" applyFill="1"/>
    <xf numFmtId="166" fontId="0" fillId="2" borderId="0" xfId="0" applyNumberFormat="1" applyFill="1" applyAlignment="1">
      <alignment horizontal="right"/>
    </xf>
    <xf numFmtId="166" fontId="0" fillId="3" borderId="0" xfId="0" applyNumberFormat="1" applyFill="1" applyAlignment="1">
      <alignment horizontal="right"/>
    </xf>
    <xf numFmtId="176" fontId="6" fillId="0" borderId="0" xfId="1" applyNumberFormat="1"/>
    <xf numFmtId="2" fontId="3" fillId="0" borderId="0" xfId="0" applyNumberFormat="1" applyFont="1"/>
    <xf numFmtId="0" fontId="20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wrapText="1"/>
    </xf>
    <xf numFmtId="164" fontId="0" fillId="0" borderId="0" xfId="0" applyNumberFormat="1"/>
    <xf numFmtId="173" fontId="0" fillId="0" borderId="0" xfId="0" applyNumberFormat="1"/>
    <xf numFmtId="173" fontId="34" fillId="0" borderId="0" xfId="0" applyNumberFormat="1" applyFont="1"/>
    <xf numFmtId="173" fontId="35" fillId="0" borderId="0" xfId="0" applyNumberFormat="1" applyFont="1"/>
    <xf numFmtId="173" fontId="8" fillId="0" borderId="0" xfId="0" applyNumberFormat="1" applyFont="1"/>
    <xf numFmtId="173" fontId="0" fillId="12" borderId="0" xfId="0" applyNumberFormat="1" applyFill="1"/>
    <xf numFmtId="173" fontId="0" fillId="11" borderId="0" xfId="0" applyNumberFormat="1" applyFill="1"/>
  </cellXfs>
  <cellStyles count="5">
    <cellStyle name="20% - Accent5" xfId="3" builtinId="46"/>
    <cellStyle name="40% - Accent5" xfId="4" builtinId="47"/>
    <cellStyle name="Currency" xfId="2" builtinId="4"/>
    <cellStyle name="Normal" xfId="0" builtinId="0"/>
    <cellStyle name="Normal 2" xfId="1" xr:uid="{DFEE5CCB-DE55-534C-94B2-EC10416535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021E7-8E2B-754B-B7D4-B9C3574ED7C2}">
  <sheetPr>
    <tabColor rgb="FFC00000"/>
  </sheetPr>
  <dimension ref="A1:J44"/>
  <sheetViews>
    <sheetView tabSelected="1" topLeftCell="A9" zoomScale="112" workbookViewId="0">
      <selection activeCell="B37" sqref="A34:B37"/>
    </sheetView>
  </sheetViews>
  <sheetFormatPr baseColWidth="10" defaultRowHeight="15" x14ac:dyDescent="0.2"/>
  <cols>
    <col min="1" max="1" width="15" customWidth="1"/>
    <col min="2" max="2" width="13.5" customWidth="1"/>
    <col min="3" max="3" width="12.83203125" customWidth="1"/>
    <col min="4" max="4" width="13" customWidth="1"/>
  </cols>
  <sheetData>
    <row r="1" spans="1:10" x14ac:dyDescent="0.2">
      <c r="A1" s="9" t="s">
        <v>16</v>
      </c>
      <c r="B1" s="9" t="s">
        <v>17</v>
      </c>
      <c r="C1" s="9" t="s">
        <v>53</v>
      </c>
      <c r="D1" s="9"/>
      <c r="E1" s="10"/>
      <c r="F1" s="10"/>
      <c r="G1" s="10"/>
      <c r="H1" s="10"/>
      <c r="I1" s="10"/>
      <c r="J1" s="10"/>
    </row>
    <row r="2" spans="1:10" x14ac:dyDescent="0.2">
      <c r="A2" s="10" t="s">
        <v>7</v>
      </c>
      <c r="B2" s="97">
        <f>EB!G18</f>
        <v>5925.7240000000002</v>
      </c>
      <c r="C2" s="23"/>
      <c r="D2" s="10"/>
      <c r="E2" s="10"/>
      <c r="F2" s="10"/>
      <c r="G2" s="10"/>
      <c r="H2" s="11"/>
      <c r="I2" s="11"/>
      <c r="J2" s="11"/>
    </row>
    <row r="3" spans="1:10" x14ac:dyDescent="0.2">
      <c r="A3" s="10" t="s">
        <v>19</v>
      </c>
      <c r="B3" s="96">
        <f>SB!G35</f>
        <v>5014.55</v>
      </c>
      <c r="C3" s="23"/>
      <c r="D3" s="10"/>
      <c r="E3" s="10"/>
      <c r="F3" s="10"/>
      <c r="G3" s="10"/>
      <c r="H3" s="11"/>
      <c r="I3" s="11"/>
      <c r="J3" s="11"/>
    </row>
    <row r="4" spans="1:10" x14ac:dyDescent="0.2">
      <c r="A4" s="10" t="s">
        <v>27</v>
      </c>
      <c r="B4" s="96">
        <f>Graduation!G14</f>
        <v>3100</v>
      </c>
      <c r="C4" s="23"/>
      <c r="D4" s="10"/>
      <c r="E4" s="10"/>
      <c r="F4" s="10"/>
      <c r="G4" s="10"/>
      <c r="H4" s="11"/>
      <c r="I4" s="11"/>
      <c r="J4" s="11"/>
    </row>
    <row r="5" spans="1:10" x14ac:dyDescent="0.2">
      <c r="A5" s="10" t="s">
        <v>33</v>
      </c>
      <c r="B5" s="96">
        <f>Sports!G19</f>
        <v>2310.85</v>
      </c>
      <c r="C5" s="23"/>
      <c r="D5" s="10"/>
      <c r="E5" s="10"/>
      <c r="F5" s="11"/>
      <c r="G5" s="10"/>
      <c r="H5" s="10"/>
      <c r="I5" s="11"/>
      <c r="J5" s="10"/>
    </row>
    <row r="6" spans="1:10" x14ac:dyDescent="0.2">
      <c r="A6" s="10" t="s">
        <v>30</v>
      </c>
      <c r="B6" s="96">
        <f>Party!G20</f>
        <v>2130</v>
      </c>
      <c r="C6" s="23"/>
      <c r="D6" s="10"/>
      <c r="E6" s="10"/>
      <c r="F6" s="11"/>
      <c r="G6" s="10"/>
      <c r="H6" s="10"/>
      <c r="I6" s="10"/>
      <c r="J6" s="11"/>
    </row>
    <row r="7" spans="1:10" x14ac:dyDescent="0.2">
      <c r="A7" s="10" t="s">
        <v>24</v>
      </c>
      <c r="B7" s="96">
        <f>EXCO!G41</f>
        <v>1965.5</v>
      </c>
      <c r="C7" s="23"/>
      <c r="D7" s="10"/>
      <c r="E7" s="10"/>
      <c r="F7" s="11"/>
      <c r="G7" s="10"/>
      <c r="H7" s="10"/>
      <c r="I7" s="10"/>
      <c r="J7" s="10"/>
    </row>
    <row r="8" spans="1:10" x14ac:dyDescent="0.2">
      <c r="A8" s="10" t="s">
        <v>32</v>
      </c>
      <c r="B8" s="96">
        <f>'Spiritual Enlightenment'!G29</f>
        <v>1127.5</v>
      </c>
      <c r="C8" s="23"/>
      <c r="D8" s="10"/>
      <c r="E8" s="10"/>
      <c r="F8" s="11"/>
      <c r="G8" s="10"/>
      <c r="H8" s="10"/>
      <c r="I8" s="10"/>
      <c r="J8" s="10"/>
    </row>
    <row r="9" spans="1:10" x14ac:dyDescent="0.2">
      <c r="A9" s="10" t="s">
        <v>18</v>
      </c>
      <c r="B9" s="96">
        <f>AB!G27</f>
        <v>1025</v>
      </c>
      <c r="C9" s="23"/>
      <c r="D9" s="10"/>
      <c r="E9" s="10"/>
      <c r="F9" s="11"/>
      <c r="G9" s="10"/>
      <c r="H9" s="10"/>
      <c r="I9" s="10"/>
      <c r="J9" s="10"/>
    </row>
    <row r="10" spans="1:10" x14ac:dyDescent="0.2">
      <c r="A10" s="10" t="s">
        <v>21</v>
      </c>
      <c r="B10" s="96">
        <f>Bell!G15</f>
        <v>925</v>
      </c>
      <c r="C10" s="23"/>
      <c r="D10" s="10"/>
      <c r="E10" s="10"/>
      <c r="F10" s="11"/>
      <c r="G10" s="10"/>
      <c r="H10" s="10"/>
      <c r="J10" s="10"/>
    </row>
    <row r="11" spans="1:10" x14ac:dyDescent="0.2">
      <c r="A11" s="10" t="s">
        <v>28</v>
      </c>
      <c r="B11" s="96">
        <f>IRDC!G23</f>
        <v>680</v>
      </c>
      <c r="C11" s="23"/>
      <c r="D11" s="10"/>
      <c r="E11" s="10"/>
      <c r="F11" s="11"/>
      <c r="G11" s="10"/>
      <c r="H11" s="10"/>
      <c r="I11" s="10"/>
      <c r="J11" s="10"/>
    </row>
    <row r="12" spans="1:10" x14ac:dyDescent="0.2">
      <c r="A12" s="10" t="s">
        <v>441</v>
      </c>
      <c r="B12" s="96">
        <f>Garden!G21</f>
        <v>672</v>
      </c>
      <c r="C12" s="23"/>
      <c r="D12" s="10"/>
      <c r="E12" s="10"/>
      <c r="F12" s="11"/>
      <c r="G12" s="10"/>
      <c r="H12" s="10"/>
      <c r="I12" s="10"/>
      <c r="J12" s="10"/>
    </row>
    <row r="13" spans="1:10" x14ac:dyDescent="0.2">
      <c r="A13" s="10" t="s">
        <v>438</v>
      </c>
      <c r="B13" s="96">
        <f>Limburg!G21</f>
        <v>491</v>
      </c>
      <c r="C13" s="23"/>
      <c r="D13" s="10"/>
      <c r="E13" s="10"/>
      <c r="F13" s="11"/>
      <c r="G13" s="10"/>
      <c r="H13" s="10"/>
      <c r="I13" s="10"/>
      <c r="J13" s="10"/>
    </row>
    <row r="14" spans="1:10" x14ac:dyDescent="0.2">
      <c r="A14" s="10" t="s">
        <v>25</v>
      </c>
      <c r="B14" s="96">
        <f>Film!G15</f>
        <v>430</v>
      </c>
      <c r="C14" s="23"/>
      <c r="D14" s="10"/>
      <c r="E14" s="10"/>
      <c r="F14" s="11"/>
      <c r="G14" s="10"/>
      <c r="H14" s="10"/>
      <c r="I14" s="10"/>
      <c r="J14" s="10"/>
    </row>
    <row r="15" spans="1:10" x14ac:dyDescent="0.2">
      <c r="A15" s="10" t="s">
        <v>34</v>
      </c>
      <c r="B15" s="98">
        <f>Swing!G22</f>
        <v>377.5</v>
      </c>
      <c r="C15" s="23"/>
      <c r="D15" s="10"/>
      <c r="E15" s="10"/>
      <c r="F15" s="11"/>
      <c r="G15" s="10"/>
      <c r="H15" s="10"/>
      <c r="I15" s="10"/>
      <c r="J15" s="10"/>
    </row>
    <row r="16" spans="1:10" x14ac:dyDescent="0.2">
      <c r="A16" s="10" t="s">
        <v>23</v>
      </c>
      <c r="B16" s="96">
        <f>Charity!G16</f>
        <v>370</v>
      </c>
      <c r="C16" s="23"/>
      <c r="D16" s="10"/>
      <c r="E16" s="10"/>
      <c r="F16" s="11"/>
      <c r="G16" s="10"/>
      <c r="H16" s="10"/>
      <c r="I16" s="10"/>
      <c r="J16" s="10"/>
    </row>
    <row r="17" spans="1:10" x14ac:dyDescent="0.2">
      <c r="A17" s="10" t="s">
        <v>435</v>
      </c>
      <c r="B17" s="96">
        <f>Radio!G13</f>
        <v>311.78999999999996</v>
      </c>
      <c r="C17" s="23"/>
      <c r="D17" s="10"/>
      <c r="E17" s="10"/>
      <c r="F17" s="11"/>
      <c r="G17" s="10"/>
      <c r="H17" s="10"/>
      <c r="I17" s="10"/>
      <c r="J17" s="10"/>
    </row>
    <row r="18" spans="1:10" x14ac:dyDescent="0.2">
      <c r="A18" s="10" t="s">
        <v>437</v>
      </c>
      <c r="B18" s="96">
        <f>Cooking!G16</f>
        <v>300</v>
      </c>
      <c r="C18" s="23"/>
      <c r="D18" s="10"/>
      <c r="E18" s="10"/>
      <c r="F18" s="11"/>
      <c r="G18" s="10"/>
      <c r="H18" s="10"/>
      <c r="I18" s="10"/>
      <c r="J18" s="10"/>
    </row>
    <row r="19" spans="1:10" x14ac:dyDescent="0.2">
      <c r="A19" s="10" t="s">
        <v>26</v>
      </c>
      <c r="B19" s="96">
        <f>Gay!E16</f>
        <v>297.5</v>
      </c>
      <c r="C19" s="23"/>
      <c r="D19" s="10"/>
      <c r="E19" s="10"/>
      <c r="F19" s="11"/>
      <c r="G19" s="10"/>
      <c r="H19" s="10"/>
      <c r="I19" s="10"/>
      <c r="J19" s="10"/>
    </row>
    <row r="20" spans="1:10" x14ac:dyDescent="0.2">
      <c r="A20" s="10" t="s">
        <v>434</v>
      </c>
      <c r="B20" s="96">
        <f>Crafts!E32</f>
        <v>277</v>
      </c>
      <c r="C20" s="23"/>
      <c r="D20" s="10"/>
      <c r="E20" s="10"/>
      <c r="F20" s="11"/>
      <c r="G20" s="10"/>
      <c r="H20" s="10"/>
      <c r="I20" s="10"/>
      <c r="J20" s="10"/>
    </row>
    <row r="21" spans="1:10" x14ac:dyDescent="0.2">
      <c r="A21" s="10" t="s">
        <v>20</v>
      </c>
      <c r="B21" s="96">
        <f>Arts!G19</f>
        <v>268</v>
      </c>
      <c r="C21" s="23"/>
      <c r="D21" s="10"/>
      <c r="E21" s="10"/>
      <c r="F21" s="11"/>
      <c r="G21" s="10"/>
      <c r="H21" s="10"/>
      <c r="I21" s="10"/>
      <c r="J21" s="10"/>
    </row>
    <row r="22" spans="1:10" x14ac:dyDescent="0.2">
      <c r="A22" s="10" t="s">
        <v>436</v>
      </c>
      <c r="B22" s="96">
        <f>Games!G32</f>
        <v>262.5</v>
      </c>
      <c r="C22" s="23"/>
      <c r="D22" s="10"/>
      <c r="E22" s="10"/>
      <c r="F22" s="11"/>
      <c r="G22" s="10"/>
      <c r="H22" s="10"/>
      <c r="I22" s="10"/>
      <c r="J22" s="10"/>
    </row>
    <row r="23" spans="1:10" x14ac:dyDescent="0.2">
      <c r="A23" s="10" t="s">
        <v>31</v>
      </c>
      <c r="B23" s="96">
        <f>Poetry!G18</f>
        <v>222.5</v>
      </c>
      <c r="C23" s="23"/>
      <c r="D23" s="10"/>
      <c r="E23" s="10"/>
      <c r="F23" s="11"/>
      <c r="G23" s="10"/>
      <c r="H23" s="10"/>
      <c r="I23" s="10"/>
      <c r="J23" s="10"/>
    </row>
    <row r="24" spans="1:10" x14ac:dyDescent="0.2">
      <c r="A24" s="10" t="s">
        <v>433</v>
      </c>
      <c r="B24" s="96">
        <f>Politics!G15</f>
        <v>217.5</v>
      </c>
      <c r="C24" s="23"/>
      <c r="D24" s="10"/>
      <c r="E24" s="10"/>
      <c r="F24" s="11"/>
      <c r="G24" s="10"/>
      <c r="H24" s="10"/>
      <c r="I24" s="10"/>
      <c r="J24" s="10"/>
    </row>
    <row r="25" spans="1:10" x14ac:dyDescent="0.2">
      <c r="A25" s="10" t="s">
        <v>29</v>
      </c>
      <c r="B25" s="96">
        <f>Music!E19</f>
        <v>208.1</v>
      </c>
      <c r="C25" s="23"/>
      <c r="D25" s="10"/>
      <c r="E25" s="10"/>
      <c r="F25" s="11"/>
      <c r="G25" s="10"/>
      <c r="H25" s="10"/>
      <c r="I25" s="10"/>
      <c r="J25" s="10"/>
    </row>
    <row r="26" spans="1:10" x14ac:dyDescent="0.2">
      <c r="A26" s="10" t="s">
        <v>51</v>
      </c>
      <c r="B26" s="96">
        <f>Philosophy!G17</f>
        <v>182.5</v>
      </c>
      <c r="C26" s="23"/>
      <c r="D26" s="10"/>
      <c r="E26" s="10"/>
      <c r="F26" s="11"/>
      <c r="G26" s="10"/>
      <c r="H26" s="10"/>
      <c r="I26" s="10"/>
      <c r="J26" s="10"/>
    </row>
    <row r="27" spans="1:10" x14ac:dyDescent="0.2">
      <c r="A27" s="10" t="s">
        <v>22</v>
      </c>
      <c r="B27" s="96">
        <f>Book!G26</f>
        <v>102.5</v>
      </c>
      <c r="C27" s="23"/>
      <c r="D27" s="10"/>
      <c r="E27" s="10"/>
      <c r="F27" s="11"/>
      <c r="G27" s="10"/>
      <c r="H27" s="10"/>
      <c r="I27" s="10"/>
      <c r="J27" s="10"/>
    </row>
    <row r="28" spans="1:10" x14ac:dyDescent="0.2">
      <c r="A28" s="10" t="s">
        <v>283</v>
      </c>
      <c r="B28" s="96">
        <f>Hypatia!G11</f>
        <v>77.5</v>
      </c>
      <c r="C28" s="23"/>
      <c r="D28" s="10"/>
      <c r="E28" s="10"/>
      <c r="F28" s="11"/>
      <c r="G28" s="10"/>
      <c r="H28" s="10"/>
      <c r="I28" s="10"/>
      <c r="J28" s="10"/>
    </row>
    <row r="29" spans="1:10" x14ac:dyDescent="0.2">
      <c r="A29" s="10" t="s">
        <v>35</v>
      </c>
      <c r="B29" s="96">
        <f>Theater!G13</f>
        <v>65</v>
      </c>
      <c r="C29" s="23"/>
      <c r="D29" s="10"/>
      <c r="E29" s="10"/>
      <c r="F29" s="11"/>
      <c r="G29" s="10"/>
      <c r="H29" s="10"/>
      <c r="I29" s="10"/>
      <c r="J29" s="10"/>
    </row>
    <row r="30" spans="1:10" x14ac:dyDescent="0.2">
      <c r="A30" s="10"/>
      <c r="B30" s="96"/>
      <c r="C30" s="23"/>
      <c r="D30" s="10"/>
      <c r="E30" s="10"/>
      <c r="F30" s="11"/>
      <c r="G30" s="10"/>
      <c r="H30" s="10"/>
      <c r="I30" s="10"/>
      <c r="J30" s="10"/>
    </row>
    <row r="31" spans="1:10" x14ac:dyDescent="0.2">
      <c r="A31" s="10" t="s">
        <v>37</v>
      </c>
      <c r="B31" s="97">
        <f>SUM(B2:B29)</f>
        <v>29337.014000000003</v>
      </c>
      <c r="C31" s="23"/>
      <c r="D31" s="10"/>
      <c r="E31" s="10"/>
      <c r="F31" s="11"/>
      <c r="G31" s="10"/>
      <c r="H31" s="10"/>
      <c r="I31" s="10"/>
      <c r="J31" s="10"/>
    </row>
    <row r="32" spans="1:10" x14ac:dyDescent="0.2">
      <c r="A32" s="10" t="s">
        <v>38</v>
      </c>
      <c r="B32" s="96">
        <f>B31-3723.22</f>
        <v>25613.794000000002</v>
      </c>
      <c r="C32" s="23"/>
      <c r="D32" s="10"/>
      <c r="E32" s="173"/>
      <c r="F32" s="11"/>
      <c r="G32" s="10"/>
      <c r="H32" s="10"/>
      <c r="I32" s="10"/>
      <c r="J32" s="10"/>
    </row>
    <row r="33" spans="1:6" x14ac:dyDescent="0.2">
      <c r="B33" s="99"/>
      <c r="E33" s="10"/>
    </row>
    <row r="34" spans="1:6" x14ac:dyDescent="0.2">
      <c r="B34" s="99"/>
    </row>
    <row r="35" spans="1:6" x14ac:dyDescent="0.2">
      <c r="B35" s="99"/>
    </row>
    <row r="36" spans="1:6" x14ac:dyDescent="0.2">
      <c r="A36" s="165"/>
      <c r="B36" s="99"/>
    </row>
    <row r="40" spans="1:6" ht="26" customHeight="1" x14ac:dyDescent="0.2">
      <c r="C40" s="166"/>
      <c r="D40" s="167"/>
    </row>
    <row r="41" spans="1:6" x14ac:dyDescent="0.2">
      <c r="C41" s="166"/>
      <c r="D41" s="167"/>
      <c r="F41" s="99"/>
    </row>
    <row r="42" spans="1:6" x14ac:dyDescent="0.2">
      <c r="C42" s="166"/>
      <c r="D42" s="167"/>
    </row>
    <row r="43" spans="1:6" x14ac:dyDescent="0.2">
      <c r="C43" s="166"/>
      <c r="D43" s="167"/>
    </row>
    <row r="44" spans="1:6" x14ac:dyDescent="0.2">
      <c r="C44" s="166"/>
      <c r="D44" s="166"/>
    </row>
  </sheetData>
  <sortState xmlns:xlrd2="http://schemas.microsoft.com/office/spreadsheetml/2017/richdata2" ref="A2:J29">
    <sortCondition descending="1" ref="B2:B2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EFA1F-0D4B-4A86-BE68-550E18CB7539}">
  <dimension ref="B2:H18"/>
  <sheetViews>
    <sheetView topLeftCell="A2" zoomScale="142" zoomScaleNormal="80" workbookViewId="0">
      <selection activeCell="D17" sqref="D17"/>
    </sheetView>
  </sheetViews>
  <sheetFormatPr baseColWidth="10" defaultRowHeight="15" x14ac:dyDescent="0.2"/>
  <cols>
    <col min="2" max="3" width="23.1640625" customWidth="1"/>
    <col min="6" max="6" width="13.5" customWidth="1"/>
  </cols>
  <sheetData>
    <row r="2" spans="2:7" ht="26" x14ac:dyDescent="0.3">
      <c r="B2" s="1" t="s">
        <v>7</v>
      </c>
      <c r="C2" s="2"/>
      <c r="D2" s="2"/>
      <c r="E2" s="2"/>
      <c r="F2" s="2"/>
      <c r="G2" s="2"/>
    </row>
    <row r="3" spans="2:7" x14ac:dyDescent="0.2">
      <c r="C3" s="2"/>
      <c r="D3" s="2"/>
      <c r="E3" s="2"/>
      <c r="F3" s="2"/>
      <c r="G3" s="2"/>
    </row>
    <row r="4" spans="2:7" x14ac:dyDescent="0.2"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</row>
    <row r="5" spans="2:7" ht="32" x14ac:dyDescent="0.2">
      <c r="B5" s="20" t="s">
        <v>8</v>
      </c>
      <c r="C5" s="17" t="s">
        <v>61</v>
      </c>
      <c r="D5" s="90">
        <f>3*50</f>
        <v>150</v>
      </c>
      <c r="E5" s="90"/>
      <c r="F5" s="90"/>
      <c r="G5" s="90">
        <f t="shared" ref="G5:G10" si="0">D5</f>
        <v>150</v>
      </c>
    </row>
    <row r="6" spans="2:7" x14ac:dyDescent="0.2">
      <c r="B6" s="19" t="s">
        <v>9</v>
      </c>
      <c r="C6" s="6"/>
      <c r="D6" s="91">
        <v>200</v>
      </c>
      <c r="E6" s="91"/>
      <c r="F6" s="91"/>
      <c r="G6" s="91">
        <f t="shared" si="0"/>
        <v>200</v>
      </c>
    </row>
    <row r="7" spans="2:7" x14ac:dyDescent="0.2">
      <c r="B7" s="20" t="s">
        <v>10</v>
      </c>
      <c r="C7" s="5"/>
      <c r="D7" s="90">
        <v>130</v>
      </c>
      <c r="E7" s="90"/>
      <c r="F7" s="90"/>
      <c r="G7" s="90">
        <f t="shared" si="0"/>
        <v>130</v>
      </c>
    </row>
    <row r="8" spans="2:7" x14ac:dyDescent="0.2">
      <c r="B8" s="19" t="s">
        <v>11</v>
      </c>
      <c r="C8" s="6" t="s">
        <v>383</v>
      </c>
      <c r="D8" s="91">
        <v>250</v>
      </c>
      <c r="E8" s="91"/>
      <c r="F8" s="91"/>
      <c r="G8" s="91">
        <f t="shared" si="0"/>
        <v>250</v>
      </c>
    </row>
    <row r="9" spans="2:7" ht="16" x14ac:dyDescent="0.2">
      <c r="B9" s="21" t="s">
        <v>12</v>
      </c>
      <c r="C9" s="8" t="s">
        <v>384</v>
      </c>
      <c r="D9" s="92">
        <v>50</v>
      </c>
      <c r="E9" s="92"/>
      <c r="F9" s="92"/>
      <c r="G9" s="92">
        <f t="shared" si="0"/>
        <v>50</v>
      </c>
    </row>
    <row r="10" spans="2:7" ht="16" x14ac:dyDescent="0.2">
      <c r="B10" s="22" t="s">
        <v>13</v>
      </c>
      <c r="C10" s="7" t="s">
        <v>63</v>
      </c>
      <c r="D10" s="93">
        <f>3*25</f>
        <v>75</v>
      </c>
      <c r="E10" s="93"/>
      <c r="F10" s="93"/>
      <c r="G10" s="93">
        <f t="shared" si="0"/>
        <v>75</v>
      </c>
    </row>
    <row r="11" spans="2:7" ht="16" x14ac:dyDescent="0.2">
      <c r="B11" s="21" t="s">
        <v>59</v>
      </c>
      <c r="C11" s="8" t="s">
        <v>48</v>
      </c>
      <c r="D11" s="92">
        <v>500</v>
      </c>
      <c r="E11" s="92"/>
      <c r="F11" s="92"/>
      <c r="G11" s="92">
        <f>SUM(D11:D13)</f>
        <v>780</v>
      </c>
    </row>
    <row r="12" spans="2:7" x14ac:dyDescent="0.2">
      <c r="B12" s="21"/>
      <c r="C12" s="8" t="s">
        <v>56</v>
      </c>
      <c r="D12" s="92">
        <v>30</v>
      </c>
      <c r="E12" s="92"/>
      <c r="F12" s="92"/>
      <c r="G12" s="92"/>
    </row>
    <row r="13" spans="2:7" x14ac:dyDescent="0.2">
      <c r="B13" s="21"/>
      <c r="C13" s="8" t="s">
        <v>58</v>
      </c>
      <c r="D13" s="92">
        <v>250</v>
      </c>
      <c r="E13" s="92"/>
      <c r="F13" s="92"/>
      <c r="G13" s="92"/>
    </row>
    <row r="14" spans="2:7" ht="16" x14ac:dyDescent="0.2">
      <c r="B14" s="22" t="s">
        <v>60</v>
      </c>
      <c r="C14" s="7" t="s">
        <v>62</v>
      </c>
      <c r="D14" s="93">
        <f>16.5*15</f>
        <v>247.5</v>
      </c>
      <c r="E14" s="93"/>
      <c r="F14" s="93"/>
      <c r="G14" s="93">
        <f>D14</f>
        <v>247.5</v>
      </c>
    </row>
    <row r="15" spans="2:7" ht="16" x14ac:dyDescent="0.2">
      <c r="B15" s="21" t="s">
        <v>54</v>
      </c>
      <c r="C15" s="18" t="s">
        <v>55</v>
      </c>
      <c r="D15" s="92">
        <v>70</v>
      </c>
      <c r="E15" s="92"/>
      <c r="F15" s="92"/>
      <c r="G15" s="92">
        <f>D15</f>
        <v>70</v>
      </c>
    </row>
    <row r="16" spans="2:7" ht="16" x14ac:dyDescent="0.2">
      <c r="B16" s="22" t="s">
        <v>64</v>
      </c>
      <c r="C16" s="16"/>
      <c r="D16" s="93">
        <v>250</v>
      </c>
      <c r="E16" s="93"/>
      <c r="F16" s="93"/>
      <c r="G16" s="93">
        <f t="shared" ref="G16:G17" si="1">D16</f>
        <v>250</v>
      </c>
    </row>
    <row r="17" spans="2:8" ht="32" x14ac:dyDescent="0.2">
      <c r="B17" s="21" t="s">
        <v>57</v>
      </c>
      <c r="C17" s="24" t="s">
        <v>14</v>
      </c>
      <c r="D17" s="92">
        <v>3723.2240000000002</v>
      </c>
      <c r="E17" s="168"/>
      <c r="F17" s="168"/>
      <c r="G17" s="92">
        <f t="shared" si="1"/>
        <v>3723.2240000000002</v>
      </c>
    </row>
    <row r="18" spans="2:8" x14ac:dyDescent="0.2">
      <c r="B18" s="3" t="s">
        <v>6</v>
      </c>
      <c r="C18" s="2"/>
      <c r="D18" s="94"/>
      <c r="E18" s="94"/>
      <c r="F18" s="94"/>
      <c r="G18" s="95">
        <f>SUM(G5:G17)</f>
        <v>5925.7240000000002</v>
      </c>
      <c r="H18" s="9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2FA51-D56C-F54E-8DD2-5ABD4753DA73}">
  <dimension ref="B4:G27"/>
  <sheetViews>
    <sheetView topLeftCell="A3" workbookViewId="0">
      <selection activeCell="D26" sqref="D26"/>
    </sheetView>
  </sheetViews>
  <sheetFormatPr baseColWidth="10" defaultRowHeight="15" x14ac:dyDescent="0.2"/>
  <cols>
    <col min="2" max="2" width="21" customWidth="1"/>
    <col min="3" max="3" width="19.6640625" customWidth="1"/>
    <col min="6" max="6" width="12.33203125" customWidth="1"/>
  </cols>
  <sheetData>
    <row r="4" spans="2:7" ht="26" x14ac:dyDescent="0.3">
      <c r="B4" s="12" t="s">
        <v>18</v>
      </c>
      <c r="C4" s="12"/>
      <c r="D4" s="15"/>
      <c r="E4" s="15"/>
      <c r="F4" s="15"/>
      <c r="G4" s="15"/>
    </row>
    <row r="5" spans="2:7" x14ac:dyDescent="0.2">
      <c r="B5" s="13"/>
      <c r="C5" s="15"/>
      <c r="D5" s="15"/>
      <c r="E5" s="15"/>
      <c r="F5" s="15"/>
      <c r="G5" s="15"/>
    </row>
    <row r="6" spans="2:7" x14ac:dyDescent="0.2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2:7" ht="16" x14ac:dyDescent="0.2">
      <c r="B7" s="69" t="s">
        <v>96</v>
      </c>
      <c r="C7" s="5" t="s">
        <v>97</v>
      </c>
      <c r="D7" s="5">
        <v>12.5</v>
      </c>
      <c r="E7" s="5"/>
      <c r="F7" s="5"/>
      <c r="G7" s="5">
        <f>SUM(D7:D8)</f>
        <v>22.5</v>
      </c>
    </row>
    <row r="8" spans="2:7" x14ac:dyDescent="0.2">
      <c r="B8" s="69"/>
      <c r="C8" s="5" t="s">
        <v>98</v>
      </c>
      <c r="D8" s="5">
        <v>10</v>
      </c>
      <c r="E8" s="5"/>
      <c r="F8" s="5"/>
      <c r="G8" s="5"/>
    </row>
    <row r="9" spans="2:7" ht="32" x14ac:dyDescent="0.2">
      <c r="B9" s="68" t="s">
        <v>99</v>
      </c>
      <c r="C9" s="6" t="s">
        <v>100</v>
      </c>
      <c r="D9" s="6">
        <f>3*10</f>
        <v>30</v>
      </c>
      <c r="E9" s="6"/>
      <c r="F9" s="6"/>
      <c r="G9" s="6">
        <f>SUM(D9:D10)</f>
        <v>230</v>
      </c>
    </row>
    <row r="10" spans="2:7" x14ac:dyDescent="0.2">
      <c r="B10" s="68"/>
      <c r="C10" s="6" t="s">
        <v>390</v>
      </c>
      <c r="D10" s="6">
        <v>200</v>
      </c>
      <c r="E10" s="6"/>
      <c r="F10" s="6"/>
      <c r="G10" s="6"/>
    </row>
    <row r="11" spans="2:7" ht="32" x14ac:dyDescent="0.2">
      <c r="B11" s="21" t="s">
        <v>101</v>
      </c>
      <c r="C11" s="8" t="s">
        <v>97</v>
      </c>
      <c r="D11" s="8">
        <v>12.5</v>
      </c>
      <c r="E11" s="8"/>
      <c r="F11" s="8"/>
      <c r="G11" s="8">
        <f>SUM(D11:F11)</f>
        <v>12.5</v>
      </c>
    </row>
    <row r="12" spans="2:7" ht="32" x14ac:dyDescent="0.2">
      <c r="B12" s="22" t="s">
        <v>102</v>
      </c>
      <c r="C12" s="7" t="s">
        <v>103</v>
      </c>
      <c r="D12" s="7">
        <v>37.5</v>
      </c>
      <c r="E12" s="7"/>
      <c r="F12" s="7"/>
      <c r="G12" s="7">
        <f>SUM(D12:F12)</f>
        <v>37.5</v>
      </c>
    </row>
    <row r="13" spans="2:7" ht="16" x14ac:dyDescent="0.2">
      <c r="B13" s="69" t="s">
        <v>104</v>
      </c>
      <c r="C13" s="25" t="s">
        <v>105</v>
      </c>
      <c r="D13" s="5">
        <f>100</f>
        <v>100</v>
      </c>
      <c r="E13" s="25"/>
      <c r="F13" s="25"/>
      <c r="G13" s="5">
        <f>SUM(D13:D14)</f>
        <v>115</v>
      </c>
    </row>
    <row r="14" spans="2:7" x14ac:dyDescent="0.2">
      <c r="B14" s="69"/>
      <c r="C14" s="25" t="s">
        <v>56</v>
      </c>
      <c r="D14" s="5">
        <v>15</v>
      </c>
      <c r="E14" s="25"/>
      <c r="F14" s="25"/>
      <c r="G14" s="25"/>
    </row>
    <row r="15" spans="2:7" ht="32" x14ac:dyDescent="0.2">
      <c r="B15" s="68" t="s">
        <v>106</v>
      </c>
      <c r="C15" s="169" t="s">
        <v>107</v>
      </c>
      <c r="D15" s="170">
        <v>200</v>
      </c>
      <c r="E15" s="26"/>
      <c r="F15" s="26"/>
      <c r="G15" s="6">
        <f>SUM(D15)</f>
        <v>200</v>
      </c>
    </row>
    <row r="16" spans="2:7" ht="16" x14ac:dyDescent="0.2">
      <c r="B16" s="69" t="s">
        <v>108</v>
      </c>
      <c r="C16" s="25" t="s">
        <v>109</v>
      </c>
      <c r="D16" s="171">
        <f>60</f>
        <v>60</v>
      </c>
      <c r="E16" s="25"/>
      <c r="F16" s="25"/>
      <c r="G16" s="5">
        <f>SUM(D16:D17)</f>
        <v>72.5</v>
      </c>
    </row>
    <row r="17" spans="2:7" x14ac:dyDescent="0.2">
      <c r="B17" s="69"/>
      <c r="C17" s="25" t="s">
        <v>97</v>
      </c>
      <c r="D17" s="5">
        <v>12.5</v>
      </c>
      <c r="E17" s="25"/>
      <c r="F17" s="25"/>
      <c r="G17" s="25"/>
    </row>
    <row r="18" spans="2:7" ht="16" x14ac:dyDescent="0.2">
      <c r="B18" s="68" t="s">
        <v>110</v>
      </c>
      <c r="C18" s="26" t="s">
        <v>111</v>
      </c>
      <c r="D18" s="172">
        <v>25</v>
      </c>
      <c r="E18" s="26"/>
      <c r="F18" s="26"/>
      <c r="G18" s="6">
        <f>SUM(D18)</f>
        <v>25</v>
      </c>
    </row>
    <row r="19" spans="2:7" ht="32" x14ac:dyDescent="0.2">
      <c r="B19" s="69" t="s">
        <v>112</v>
      </c>
      <c r="C19" s="40" t="s">
        <v>442</v>
      </c>
      <c r="D19" s="171">
        <v>200</v>
      </c>
      <c r="E19" s="25"/>
      <c r="F19" s="25"/>
      <c r="G19" s="5">
        <f>SUM(D19)</f>
        <v>200</v>
      </c>
    </row>
    <row r="20" spans="2:7" ht="32" x14ac:dyDescent="0.2">
      <c r="B20" s="68" t="s">
        <v>113</v>
      </c>
      <c r="C20" s="26" t="s">
        <v>114</v>
      </c>
      <c r="D20" s="6">
        <v>12.5</v>
      </c>
      <c r="E20" s="26"/>
      <c r="F20" s="26"/>
      <c r="G20" s="6">
        <f>SUM(D20)</f>
        <v>12.5</v>
      </c>
    </row>
    <row r="21" spans="2:7" ht="16" x14ac:dyDescent="0.2">
      <c r="B21" s="69" t="s">
        <v>391</v>
      </c>
      <c r="C21" s="25" t="s">
        <v>115</v>
      </c>
      <c r="D21" s="171">
        <f>20</f>
        <v>20</v>
      </c>
      <c r="E21" s="25"/>
      <c r="F21" s="25"/>
      <c r="G21" s="5">
        <f>SUM(D21:D22)</f>
        <v>32.5</v>
      </c>
    </row>
    <row r="22" spans="2:7" x14ac:dyDescent="0.2">
      <c r="B22" s="69"/>
      <c r="C22" s="25" t="s">
        <v>114</v>
      </c>
      <c r="D22" s="5">
        <v>12.5</v>
      </c>
      <c r="E22" s="25"/>
      <c r="F22" s="25"/>
      <c r="G22" s="25"/>
    </row>
    <row r="23" spans="2:7" ht="16" x14ac:dyDescent="0.2">
      <c r="B23" s="68" t="s">
        <v>116</v>
      </c>
      <c r="C23" s="26" t="s">
        <v>115</v>
      </c>
      <c r="D23" s="172">
        <f>20</f>
        <v>20</v>
      </c>
      <c r="E23" s="26"/>
      <c r="F23" s="26"/>
      <c r="G23" s="6">
        <f>SUM(D23:D24)</f>
        <v>32.5</v>
      </c>
    </row>
    <row r="24" spans="2:7" x14ac:dyDescent="0.2">
      <c r="B24" s="68"/>
      <c r="C24" s="26" t="s">
        <v>114</v>
      </c>
      <c r="D24" s="6">
        <v>12.5</v>
      </c>
      <c r="E24" s="26"/>
      <c r="F24" s="26"/>
      <c r="G24" s="26"/>
    </row>
    <row r="25" spans="2:7" ht="16" x14ac:dyDescent="0.2">
      <c r="B25" s="69" t="s">
        <v>392</v>
      </c>
      <c r="C25" s="25" t="s">
        <v>115</v>
      </c>
      <c r="D25" s="171">
        <f>20</f>
        <v>20</v>
      </c>
      <c r="E25" s="25"/>
      <c r="F25" s="25"/>
      <c r="G25" s="5">
        <f>SUM(D25:D26)</f>
        <v>32.5</v>
      </c>
    </row>
    <row r="26" spans="2:7" x14ac:dyDescent="0.2">
      <c r="B26" s="25"/>
      <c r="C26" s="25" t="s">
        <v>114</v>
      </c>
      <c r="D26" s="5">
        <v>12.5</v>
      </c>
      <c r="E26" s="25"/>
      <c r="F26" s="25"/>
      <c r="G26" s="25"/>
    </row>
    <row r="27" spans="2:7" x14ac:dyDescent="0.2">
      <c r="B27" s="3" t="s">
        <v>6</v>
      </c>
      <c r="C27" s="2"/>
      <c r="D27" s="2"/>
      <c r="E27" s="2"/>
      <c r="F27" s="2"/>
      <c r="G27" s="4">
        <f>SUM(G7:G26)</f>
        <v>1025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6BB43-8375-6348-BD0B-8342BD86F4C7}">
  <dimension ref="B3:G35"/>
  <sheetViews>
    <sheetView topLeftCell="A3" zoomScaleNormal="80" workbookViewId="0">
      <selection activeCell="J31" sqref="J31"/>
    </sheetView>
  </sheetViews>
  <sheetFormatPr baseColWidth="10" defaultRowHeight="15" x14ac:dyDescent="0.2"/>
  <cols>
    <col min="2" max="2" width="27.33203125" customWidth="1"/>
    <col min="3" max="3" width="30.1640625" customWidth="1"/>
    <col min="4" max="4" width="13.83203125" customWidth="1"/>
    <col min="6" max="6" width="14.33203125" customWidth="1"/>
  </cols>
  <sheetData>
    <row r="3" spans="2:7" ht="26" x14ac:dyDescent="0.3">
      <c r="B3" s="12" t="s">
        <v>19</v>
      </c>
      <c r="C3" s="14"/>
      <c r="D3" s="14"/>
      <c r="E3" s="14"/>
      <c r="F3" s="14"/>
      <c r="G3" s="14"/>
    </row>
    <row r="4" spans="2:7" x14ac:dyDescent="0.2">
      <c r="B4" s="13"/>
      <c r="C4" s="14"/>
      <c r="D4" s="14"/>
      <c r="E4" s="14"/>
      <c r="F4" s="14"/>
      <c r="G4" s="14"/>
    </row>
    <row r="5" spans="2:7" x14ac:dyDescent="0.2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7" x14ac:dyDescent="0.2">
      <c r="B6" s="20" t="s">
        <v>65</v>
      </c>
      <c r="C6" s="5" t="s">
        <v>66</v>
      </c>
      <c r="D6" s="5">
        <v>110</v>
      </c>
      <c r="E6" s="5"/>
      <c r="F6" s="5"/>
      <c r="G6" s="5">
        <f>SUM(D6)</f>
        <v>110</v>
      </c>
    </row>
    <row r="7" spans="2:7" x14ac:dyDescent="0.2">
      <c r="B7" s="19" t="s">
        <v>8</v>
      </c>
      <c r="C7" s="6" t="s">
        <v>385</v>
      </c>
      <c r="D7" s="6">
        <f>4*50</f>
        <v>200</v>
      </c>
      <c r="E7" s="6"/>
      <c r="F7" s="6"/>
      <c r="G7" s="6">
        <f>SUM(D7)</f>
        <v>200</v>
      </c>
    </row>
    <row r="8" spans="2:7" x14ac:dyDescent="0.2">
      <c r="B8" s="20" t="s">
        <v>67</v>
      </c>
      <c r="C8" s="5"/>
      <c r="D8" s="5"/>
      <c r="E8" s="5"/>
      <c r="F8" s="5"/>
      <c r="G8" s="5"/>
    </row>
    <row r="9" spans="2:7" x14ac:dyDescent="0.2">
      <c r="B9" s="20"/>
      <c r="C9" s="5" t="s">
        <v>68</v>
      </c>
      <c r="D9" s="5">
        <v>1750</v>
      </c>
      <c r="E9" s="5">
        <f>0.5</f>
        <v>0.5</v>
      </c>
      <c r="F9" s="5">
        <f>550</f>
        <v>550</v>
      </c>
      <c r="G9" s="5"/>
    </row>
    <row r="10" spans="2:7" x14ac:dyDescent="0.2">
      <c r="B10" s="20"/>
      <c r="C10" s="5" t="s">
        <v>69</v>
      </c>
      <c r="D10" s="5">
        <v>200</v>
      </c>
      <c r="E10" s="5"/>
      <c r="F10" s="5"/>
      <c r="G10" s="5">
        <f>(D9-F9)+D10</f>
        <v>1400</v>
      </c>
    </row>
    <row r="11" spans="2:7" x14ac:dyDescent="0.2">
      <c r="B11" s="19" t="s">
        <v>70</v>
      </c>
      <c r="C11" s="6"/>
      <c r="D11" s="6"/>
      <c r="E11" s="6"/>
      <c r="F11" s="6"/>
      <c r="G11" s="6"/>
    </row>
    <row r="12" spans="2:7" x14ac:dyDescent="0.2">
      <c r="B12" s="19"/>
      <c r="C12" s="6" t="s">
        <v>71</v>
      </c>
      <c r="D12" s="6">
        <v>50</v>
      </c>
      <c r="E12" s="6"/>
      <c r="F12" s="6"/>
      <c r="G12" s="6"/>
    </row>
    <row r="13" spans="2:7" x14ac:dyDescent="0.2">
      <c r="B13" s="19"/>
      <c r="C13" s="6" t="s">
        <v>72</v>
      </c>
      <c r="D13" s="6">
        <f>50</f>
        <v>50</v>
      </c>
      <c r="E13" s="6"/>
      <c r="F13" s="6"/>
      <c r="G13" s="6"/>
    </row>
    <row r="14" spans="2:7" x14ac:dyDescent="0.2">
      <c r="B14" s="19"/>
      <c r="C14" s="6" t="s">
        <v>73</v>
      </c>
      <c r="D14" s="6">
        <f>50</f>
        <v>50</v>
      </c>
      <c r="E14" s="6"/>
      <c r="F14" s="6"/>
      <c r="G14" s="6"/>
    </row>
    <row r="15" spans="2:7" x14ac:dyDescent="0.2">
      <c r="B15" s="22"/>
      <c r="C15" s="7" t="s">
        <v>74</v>
      </c>
      <c r="D15" s="7">
        <v>50</v>
      </c>
      <c r="E15" s="7"/>
      <c r="F15" s="7"/>
      <c r="G15" s="7">
        <f>SUM(D11:D15)</f>
        <v>200</v>
      </c>
    </row>
    <row r="16" spans="2:7" ht="16" x14ac:dyDescent="0.2">
      <c r="B16" s="21" t="s">
        <v>75</v>
      </c>
      <c r="C16" s="8" t="s">
        <v>76</v>
      </c>
      <c r="D16" s="8">
        <v>200</v>
      </c>
      <c r="E16" s="8"/>
      <c r="F16" s="8"/>
      <c r="G16" s="8">
        <f>SUM(D16)</f>
        <v>200</v>
      </c>
    </row>
    <row r="17" spans="2:7" ht="16" x14ac:dyDescent="0.2">
      <c r="B17" s="22" t="s">
        <v>36</v>
      </c>
      <c r="C17" s="7"/>
      <c r="D17" s="7"/>
      <c r="E17" s="7"/>
      <c r="F17" s="7"/>
      <c r="G17" s="7"/>
    </row>
    <row r="18" spans="2:7" x14ac:dyDescent="0.2">
      <c r="B18" s="22"/>
      <c r="C18" s="7" t="s">
        <v>77</v>
      </c>
      <c r="D18" s="7">
        <v>1000</v>
      </c>
      <c r="E18" s="7"/>
      <c r="F18" s="7"/>
      <c r="G18" s="7"/>
    </row>
    <row r="19" spans="2:7" x14ac:dyDescent="0.2">
      <c r="B19" s="22"/>
      <c r="C19" s="7" t="s">
        <v>78</v>
      </c>
      <c r="D19" s="7">
        <v>44</v>
      </c>
      <c r="E19" s="7"/>
      <c r="F19" s="7"/>
      <c r="G19" s="7"/>
    </row>
    <row r="20" spans="2:7" x14ac:dyDescent="0.2">
      <c r="B20" s="22"/>
      <c r="C20" s="7" t="s">
        <v>79</v>
      </c>
      <c r="D20" s="7">
        <f>25*15</f>
        <v>375</v>
      </c>
      <c r="E20" s="7"/>
      <c r="F20" s="7"/>
      <c r="G20" s="7"/>
    </row>
    <row r="21" spans="2:7" x14ac:dyDescent="0.2">
      <c r="B21" s="22"/>
      <c r="C21" s="7" t="s">
        <v>80</v>
      </c>
      <c r="D21" s="7">
        <f>3*(4*15)</f>
        <v>180</v>
      </c>
      <c r="E21" s="7"/>
      <c r="F21" s="7"/>
      <c r="G21" s="7">
        <f>SUM(D18:D21)</f>
        <v>1599</v>
      </c>
    </row>
    <row r="22" spans="2:7" ht="16" x14ac:dyDescent="0.2">
      <c r="B22" s="21" t="s">
        <v>81</v>
      </c>
      <c r="C22" s="8" t="s">
        <v>82</v>
      </c>
      <c r="D22" s="8">
        <v>300</v>
      </c>
      <c r="E22" s="8"/>
      <c r="F22" s="8"/>
      <c r="G22" s="8">
        <f>SUM(D22)</f>
        <v>300</v>
      </c>
    </row>
    <row r="23" spans="2:7" ht="16" x14ac:dyDescent="0.2">
      <c r="B23" s="22" t="s">
        <v>83</v>
      </c>
      <c r="C23" s="7" t="s">
        <v>84</v>
      </c>
      <c r="D23" s="7">
        <v>25</v>
      </c>
      <c r="E23" s="7"/>
      <c r="F23" s="7"/>
      <c r="G23" s="7">
        <v>25</v>
      </c>
    </row>
    <row r="24" spans="2:7" ht="16" x14ac:dyDescent="0.2">
      <c r="B24" s="21" t="s">
        <v>85</v>
      </c>
      <c r="C24" s="8" t="s">
        <v>86</v>
      </c>
      <c r="D24" s="8">
        <v>10</v>
      </c>
      <c r="E24" s="8"/>
      <c r="F24" s="8"/>
      <c r="G24" s="8">
        <f>SUM(D24)</f>
        <v>10</v>
      </c>
    </row>
    <row r="25" spans="2:7" ht="16" x14ac:dyDescent="0.2">
      <c r="B25" s="22" t="s">
        <v>87</v>
      </c>
      <c r="C25" s="16" t="s">
        <v>88</v>
      </c>
      <c r="D25" s="7">
        <v>300</v>
      </c>
      <c r="E25" s="7"/>
      <c r="F25" s="7"/>
      <c r="G25" s="7">
        <f>SUM(D25)</f>
        <v>300</v>
      </c>
    </row>
    <row r="26" spans="2:7" ht="16" x14ac:dyDescent="0.2">
      <c r="B26" s="21" t="s">
        <v>89</v>
      </c>
      <c r="C26" s="8" t="s">
        <v>90</v>
      </c>
      <c r="D26" s="8">
        <v>30</v>
      </c>
      <c r="E26" s="8"/>
      <c r="F26" s="8"/>
      <c r="G26" s="8">
        <f>SUM(D26)</f>
        <v>30</v>
      </c>
    </row>
    <row r="27" spans="2:7" ht="32" x14ac:dyDescent="0.2">
      <c r="B27" s="22" t="s">
        <v>386</v>
      </c>
      <c r="C27" s="7" t="s">
        <v>91</v>
      </c>
      <c r="D27" s="28">
        <f>250</f>
        <v>250</v>
      </c>
      <c r="E27" s="7"/>
      <c r="F27" s="7"/>
      <c r="G27" s="7">
        <f>D27</f>
        <v>250</v>
      </c>
    </row>
    <row r="28" spans="2:7" ht="16" x14ac:dyDescent="0.2">
      <c r="B28" s="21" t="s">
        <v>92</v>
      </c>
      <c r="C28" s="8"/>
      <c r="D28" s="8"/>
      <c r="E28" s="8"/>
      <c r="F28" s="8"/>
      <c r="G28" s="8"/>
    </row>
    <row r="29" spans="2:7" x14ac:dyDescent="0.2">
      <c r="B29" s="21"/>
      <c r="C29" s="8" t="s">
        <v>93</v>
      </c>
      <c r="D29" s="8">
        <v>15</v>
      </c>
      <c r="E29" s="8"/>
      <c r="F29" s="8"/>
      <c r="G29" s="8"/>
    </row>
    <row r="30" spans="2:7" x14ac:dyDescent="0.2">
      <c r="B30" s="21"/>
      <c r="C30" s="8" t="s">
        <v>94</v>
      </c>
      <c r="D30" s="8">
        <v>65.55</v>
      </c>
      <c r="E30" s="8"/>
      <c r="F30" s="8"/>
      <c r="G30" s="8">
        <f>SUM(D29:D30)</f>
        <v>80.55</v>
      </c>
    </row>
    <row r="31" spans="2:7" ht="16" x14ac:dyDescent="0.2">
      <c r="B31" s="22" t="s">
        <v>95</v>
      </c>
      <c r="C31" s="7"/>
      <c r="D31" s="7"/>
      <c r="E31" s="7"/>
      <c r="F31" s="7"/>
      <c r="G31" s="7"/>
    </row>
    <row r="32" spans="2:7" ht="18" x14ac:dyDescent="0.35">
      <c r="B32" s="22"/>
      <c r="C32" s="7" t="s">
        <v>387</v>
      </c>
      <c r="D32" s="7">
        <f>4*50</f>
        <v>200</v>
      </c>
      <c r="E32" s="7"/>
      <c r="F32" s="7"/>
      <c r="G32" s="7"/>
    </row>
    <row r="33" spans="2:7" x14ac:dyDescent="0.2">
      <c r="B33" s="22"/>
      <c r="C33" s="7" t="s">
        <v>389</v>
      </c>
      <c r="D33" s="7">
        <f>3*20</f>
        <v>60</v>
      </c>
      <c r="E33" s="7"/>
      <c r="F33" s="7"/>
      <c r="G33" s="7"/>
    </row>
    <row r="34" spans="2:7" x14ac:dyDescent="0.2">
      <c r="B34" s="67"/>
      <c r="C34" s="7" t="s">
        <v>388</v>
      </c>
      <c r="D34" s="7">
        <v>50</v>
      </c>
      <c r="E34" s="7"/>
      <c r="F34" s="7"/>
      <c r="G34" s="7">
        <f>SUM(D32:D34)</f>
        <v>310</v>
      </c>
    </row>
    <row r="35" spans="2:7" x14ac:dyDescent="0.2">
      <c r="B35" s="3" t="s">
        <v>6</v>
      </c>
      <c r="C35" s="2"/>
      <c r="D35" s="2"/>
      <c r="E35" s="2"/>
      <c r="F35" s="2"/>
      <c r="G35" s="4">
        <f>SUM(G6:G34)</f>
        <v>5014.55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F25E8-B9C6-A14A-A299-8FC7FE7FF4D4}">
  <dimension ref="B3:G14"/>
  <sheetViews>
    <sheetView topLeftCell="A2" zoomScale="150" workbookViewId="0">
      <selection activeCell="G6" sqref="G6"/>
    </sheetView>
  </sheetViews>
  <sheetFormatPr baseColWidth="10" defaultRowHeight="15" x14ac:dyDescent="0.2"/>
  <cols>
    <col min="2" max="2" width="19.33203125" customWidth="1"/>
    <col min="3" max="3" width="41.5" customWidth="1"/>
    <col min="6" max="6" width="13.33203125" customWidth="1"/>
  </cols>
  <sheetData>
    <row r="3" spans="2:7" ht="26" x14ac:dyDescent="0.3">
      <c r="B3" s="1" t="s">
        <v>15</v>
      </c>
      <c r="C3" s="2"/>
      <c r="D3" s="2"/>
      <c r="E3" s="2"/>
      <c r="F3" s="2"/>
      <c r="G3" s="2"/>
    </row>
    <row r="4" spans="2:7" x14ac:dyDescent="0.2">
      <c r="C4" s="2"/>
      <c r="D4" s="2"/>
      <c r="E4" s="2"/>
      <c r="F4" s="2"/>
      <c r="G4" s="2"/>
    </row>
    <row r="5" spans="2:7" x14ac:dyDescent="0.2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7" x14ac:dyDescent="0.2">
      <c r="B6" s="20" t="s">
        <v>313</v>
      </c>
      <c r="C6" s="5"/>
      <c r="D6" s="5"/>
      <c r="E6" s="5" t="s">
        <v>314</v>
      </c>
      <c r="F6" s="5">
        <f>200*10</f>
        <v>2000</v>
      </c>
      <c r="G6" s="5">
        <f>SUM(D7:D10)-F6</f>
        <v>2850</v>
      </c>
    </row>
    <row r="7" spans="2:7" x14ac:dyDescent="0.2">
      <c r="B7" s="20"/>
      <c r="C7" s="5" t="s">
        <v>315</v>
      </c>
      <c r="D7" s="5">
        <v>4000</v>
      </c>
      <c r="E7" s="5"/>
      <c r="F7" s="5"/>
      <c r="G7" s="5"/>
    </row>
    <row r="8" spans="2:7" x14ac:dyDescent="0.2">
      <c r="B8" s="20"/>
      <c r="C8" s="5" t="s">
        <v>275</v>
      </c>
      <c r="D8" s="5">
        <v>600</v>
      </c>
      <c r="E8" s="5"/>
      <c r="F8" s="5"/>
      <c r="G8" s="5"/>
    </row>
    <row r="9" spans="2:7" x14ac:dyDescent="0.2">
      <c r="B9" s="20"/>
      <c r="C9" s="5" t="s">
        <v>277</v>
      </c>
      <c r="D9" s="5">
        <v>200</v>
      </c>
      <c r="E9" s="5"/>
      <c r="F9" s="5"/>
      <c r="G9" s="5"/>
    </row>
    <row r="10" spans="2:7" x14ac:dyDescent="0.2">
      <c r="B10" s="20"/>
      <c r="C10" s="5" t="s">
        <v>56</v>
      </c>
      <c r="D10" s="5">
        <v>50</v>
      </c>
      <c r="E10" s="5"/>
      <c r="F10" s="5"/>
      <c r="G10" s="5"/>
    </row>
    <row r="11" spans="2:7" x14ac:dyDescent="0.2">
      <c r="B11" s="19" t="s">
        <v>316</v>
      </c>
      <c r="C11" s="6"/>
      <c r="D11" s="6"/>
      <c r="E11" s="6"/>
      <c r="F11" s="6"/>
      <c r="G11" s="6">
        <f>SUM(D12:D13)</f>
        <v>250</v>
      </c>
    </row>
    <row r="12" spans="2:7" x14ac:dyDescent="0.2">
      <c r="B12" s="19"/>
      <c r="C12" s="6" t="s">
        <v>454</v>
      </c>
      <c r="D12" s="6">
        <f>40*5</f>
        <v>200</v>
      </c>
      <c r="E12" s="6"/>
      <c r="F12" s="6"/>
      <c r="G12" s="6"/>
    </row>
    <row r="13" spans="2:7" x14ac:dyDescent="0.2">
      <c r="B13" s="19"/>
      <c r="C13" s="6" t="s">
        <v>317</v>
      </c>
      <c r="D13" s="6">
        <f>10*5</f>
        <v>50</v>
      </c>
      <c r="E13" s="6"/>
      <c r="F13" s="6"/>
      <c r="G13" s="6"/>
    </row>
    <row r="14" spans="2:7" x14ac:dyDescent="0.2">
      <c r="B14" s="3" t="s">
        <v>6</v>
      </c>
      <c r="C14" s="2"/>
      <c r="D14" s="2"/>
      <c r="E14" s="2"/>
      <c r="F14" s="2"/>
      <c r="G14" s="4">
        <f>SUM(G6:G13)</f>
        <v>3100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40E10-A2F2-B64F-B3FF-5DB5509759E8}">
  <dimension ref="B3:G19"/>
  <sheetViews>
    <sheetView topLeftCell="A3" zoomScale="142" workbookViewId="0">
      <selection activeCell="G14" sqref="G14"/>
    </sheetView>
  </sheetViews>
  <sheetFormatPr baseColWidth="10" defaultRowHeight="15" x14ac:dyDescent="0.2"/>
  <cols>
    <col min="2" max="2" width="21.83203125" customWidth="1"/>
    <col min="3" max="3" width="43.6640625" customWidth="1"/>
    <col min="6" max="6" width="14.6640625" customWidth="1"/>
  </cols>
  <sheetData>
    <row r="3" spans="2:7" ht="26" x14ac:dyDescent="0.3">
      <c r="B3" s="12" t="s">
        <v>33</v>
      </c>
      <c r="C3" s="14"/>
      <c r="D3" s="14"/>
      <c r="E3" s="14"/>
      <c r="F3" s="14"/>
      <c r="G3" s="14"/>
    </row>
    <row r="4" spans="2:7" x14ac:dyDescent="0.2">
      <c r="B4" s="13"/>
      <c r="C4" s="14"/>
      <c r="D4" s="14"/>
      <c r="E4" s="14"/>
      <c r="F4" s="14"/>
      <c r="G4" s="14"/>
    </row>
    <row r="5" spans="2:7" x14ac:dyDescent="0.2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7" ht="32" x14ac:dyDescent="0.2">
      <c r="B6" s="68" t="s">
        <v>247</v>
      </c>
      <c r="C6" s="6" t="s">
        <v>248</v>
      </c>
      <c r="D6" s="45">
        <v>765</v>
      </c>
      <c r="E6" s="45">
        <v>38</v>
      </c>
      <c r="F6" s="6">
        <f>E6*30</f>
        <v>1140</v>
      </c>
      <c r="G6" s="45">
        <f>SUM(D6:D8)-(F6)</f>
        <v>450</v>
      </c>
    </row>
    <row r="7" spans="2:7" x14ac:dyDescent="0.2">
      <c r="B7" s="68"/>
      <c r="C7" s="6" t="s">
        <v>249</v>
      </c>
      <c r="D7" s="46">
        <v>525</v>
      </c>
      <c r="E7" s="6"/>
      <c r="F7" s="6"/>
      <c r="G7" s="6"/>
    </row>
    <row r="8" spans="2:7" x14ac:dyDescent="0.2">
      <c r="B8" s="68"/>
      <c r="C8" s="6" t="s">
        <v>250</v>
      </c>
      <c r="D8" s="45">
        <v>300</v>
      </c>
      <c r="E8" s="6"/>
      <c r="F8" s="6"/>
      <c r="G8" s="6"/>
    </row>
    <row r="9" spans="2:7" ht="16" x14ac:dyDescent="0.2">
      <c r="B9" s="21" t="s">
        <v>251</v>
      </c>
      <c r="C9" s="8" t="s">
        <v>252</v>
      </c>
      <c r="D9" s="8">
        <f>30*32.5</f>
        <v>975</v>
      </c>
      <c r="E9" s="79">
        <v>17.5</v>
      </c>
      <c r="F9" s="47">
        <f>17.5*30</f>
        <v>525</v>
      </c>
      <c r="G9" s="8">
        <f>D9-F9</f>
        <v>450</v>
      </c>
    </row>
    <row r="10" spans="2:7" ht="32" x14ac:dyDescent="0.2">
      <c r="B10" s="22" t="s">
        <v>253</v>
      </c>
      <c r="C10" s="6" t="s">
        <v>254</v>
      </c>
      <c r="D10" s="46">
        <f>10*24.5</f>
        <v>245</v>
      </c>
      <c r="E10" s="7">
        <f>9.5</f>
        <v>9.5</v>
      </c>
      <c r="F10" s="7">
        <f>E10*10</f>
        <v>95</v>
      </c>
      <c r="G10" s="7">
        <f>D10-F10</f>
        <v>150</v>
      </c>
    </row>
    <row r="11" spans="2:7" ht="16" x14ac:dyDescent="0.2">
      <c r="B11" s="21" t="s">
        <v>421</v>
      </c>
      <c r="C11" s="5" t="s">
        <v>449</v>
      </c>
      <c r="D11" s="44">
        <v>120</v>
      </c>
      <c r="E11" s="8"/>
      <c r="F11" s="8"/>
      <c r="G11" s="8">
        <f>SUM(D11:D13)</f>
        <v>615</v>
      </c>
    </row>
    <row r="12" spans="2:7" x14ac:dyDescent="0.2">
      <c r="B12" s="21"/>
      <c r="C12" s="5" t="s">
        <v>255</v>
      </c>
      <c r="D12" s="44">
        <v>45</v>
      </c>
      <c r="E12" s="8"/>
      <c r="F12" s="8"/>
      <c r="G12" s="8"/>
    </row>
    <row r="13" spans="2:7" x14ac:dyDescent="0.2">
      <c r="B13" s="21"/>
      <c r="C13" s="5" t="s">
        <v>443</v>
      </c>
      <c r="D13" s="44">
        <f>15*30</f>
        <v>450</v>
      </c>
      <c r="E13" s="8"/>
      <c r="F13" s="8"/>
      <c r="G13" s="8"/>
    </row>
    <row r="14" spans="2:7" ht="16" x14ac:dyDescent="0.2">
      <c r="B14" s="22" t="s">
        <v>423</v>
      </c>
      <c r="C14" s="6"/>
      <c r="D14" s="46"/>
      <c r="E14" s="7"/>
      <c r="F14" s="7"/>
      <c r="G14" s="7">
        <f>D15-F15</f>
        <v>300</v>
      </c>
    </row>
    <row r="15" spans="2:7" x14ac:dyDescent="0.2">
      <c r="B15" s="22"/>
      <c r="C15" s="6" t="s">
        <v>256</v>
      </c>
      <c r="D15" s="46">
        <v>450</v>
      </c>
      <c r="E15" s="7" t="s">
        <v>422</v>
      </c>
      <c r="F15" s="7">
        <f>5*30</f>
        <v>150</v>
      </c>
      <c r="G15" s="7"/>
    </row>
    <row r="16" spans="2:7" ht="16" x14ac:dyDescent="0.2">
      <c r="B16" s="21" t="s">
        <v>257</v>
      </c>
      <c r="C16" s="5" t="s">
        <v>258</v>
      </c>
      <c r="D16" s="44">
        <f>14*18</f>
        <v>252</v>
      </c>
      <c r="E16" s="8"/>
      <c r="F16" s="8"/>
      <c r="G16" s="8">
        <v>345.85</v>
      </c>
    </row>
    <row r="17" spans="2:7" x14ac:dyDescent="0.2">
      <c r="B17" s="86"/>
      <c r="C17" s="5" t="s">
        <v>259</v>
      </c>
      <c r="D17" s="44">
        <v>33.9</v>
      </c>
      <c r="E17" s="8"/>
      <c r="F17" s="8"/>
      <c r="G17" s="8"/>
    </row>
    <row r="18" spans="2:7" x14ac:dyDescent="0.2">
      <c r="B18" s="86"/>
      <c r="C18" s="5" t="s">
        <v>260</v>
      </c>
      <c r="D18" s="44">
        <v>59.95</v>
      </c>
      <c r="E18" s="8"/>
      <c r="F18" s="8"/>
      <c r="G18" s="8"/>
    </row>
    <row r="19" spans="2:7" x14ac:dyDescent="0.2">
      <c r="B19" s="3" t="s">
        <v>6</v>
      </c>
      <c r="C19" s="2"/>
      <c r="D19" s="2"/>
      <c r="E19" s="2"/>
      <c r="F19" s="2"/>
      <c r="G19" s="4">
        <f>SUM(G6:G18)</f>
        <v>2310.85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350A6-C1BA-A74D-B5D6-D0F510C79AE1}">
  <dimension ref="B4:I20"/>
  <sheetViews>
    <sheetView topLeftCell="A3" zoomScale="157" zoomScaleNormal="70" workbookViewId="0">
      <selection activeCell="E21" sqref="E21"/>
    </sheetView>
  </sheetViews>
  <sheetFormatPr baseColWidth="10" defaultRowHeight="15" x14ac:dyDescent="0.2"/>
  <cols>
    <col min="2" max="2" width="18" customWidth="1"/>
    <col min="3" max="3" width="19.5" customWidth="1"/>
    <col min="5" max="5" width="18.5" customWidth="1"/>
    <col min="6" max="6" width="17.6640625" customWidth="1"/>
  </cols>
  <sheetData>
    <row r="4" spans="2:9" ht="26" x14ac:dyDescent="0.3">
      <c r="B4" s="12" t="s">
        <v>40</v>
      </c>
      <c r="C4" s="14"/>
      <c r="D4" s="14"/>
      <c r="E4" s="14"/>
      <c r="F4" s="14"/>
      <c r="G4" s="14"/>
    </row>
    <row r="5" spans="2:9" x14ac:dyDescent="0.2">
      <c r="B5" s="13"/>
      <c r="C5" s="14"/>
      <c r="D5" s="14"/>
      <c r="E5" s="14"/>
      <c r="F5" s="14"/>
      <c r="G5" s="14"/>
    </row>
    <row r="6" spans="2:9" x14ac:dyDescent="0.2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2:9" ht="16" x14ac:dyDescent="0.2">
      <c r="B7" s="69" t="s">
        <v>273</v>
      </c>
      <c r="C7" s="5"/>
      <c r="D7" s="5"/>
      <c r="E7" s="5" t="s">
        <v>470</v>
      </c>
      <c r="F7" s="5">
        <f>200*7</f>
        <v>1400</v>
      </c>
      <c r="G7" s="5">
        <f>SUM(D8:D12)-F7</f>
        <v>100</v>
      </c>
    </row>
    <row r="8" spans="2:9" x14ac:dyDescent="0.2">
      <c r="B8" s="69"/>
      <c r="C8" s="5" t="s">
        <v>274</v>
      </c>
      <c r="D8" s="5">
        <v>750</v>
      </c>
      <c r="E8" s="5"/>
      <c r="F8" s="5"/>
      <c r="G8" s="5"/>
      <c r="H8">
        <f>(200*7)</f>
        <v>1400</v>
      </c>
      <c r="I8" s="73">
        <f>SUM(D8:D12)-H8</f>
        <v>100</v>
      </c>
    </row>
    <row r="9" spans="2:9" x14ac:dyDescent="0.2">
      <c r="B9" s="69"/>
      <c r="C9" s="5" t="s">
        <v>275</v>
      </c>
      <c r="D9" s="5">
        <v>370</v>
      </c>
      <c r="E9" s="5"/>
      <c r="F9" s="5"/>
      <c r="G9" s="5"/>
    </row>
    <row r="10" spans="2:9" x14ac:dyDescent="0.2">
      <c r="B10" s="69"/>
      <c r="C10" s="5" t="s">
        <v>276</v>
      </c>
      <c r="D10" s="5">
        <v>100</v>
      </c>
      <c r="E10" s="5"/>
      <c r="F10" s="5"/>
      <c r="G10" s="5"/>
    </row>
    <row r="11" spans="2:9" x14ac:dyDescent="0.2">
      <c r="B11" s="69"/>
      <c r="C11" s="5" t="s">
        <v>277</v>
      </c>
      <c r="D11" s="5">
        <v>100</v>
      </c>
      <c r="E11" s="5"/>
      <c r="F11" s="5"/>
      <c r="G11" s="5"/>
    </row>
    <row r="12" spans="2:9" x14ac:dyDescent="0.2">
      <c r="B12" s="69"/>
      <c r="C12" s="5" t="s">
        <v>278</v>
      </c>
      <c r="D12" s="5">
        <v>180</v>
      </c>
      <c r="E12" s="5"/>
      <c r="F12" s="5"/>
      <c r="G12" s="5"/>
    </row>
    <row r="13" spans="2:9" ht="16" x14ac:dyDescent="0.2">
      <c r="B13" s="68" t="s">
        <v>279</v>
      </c>
      <c r="C13" s="6"/>
      <c r="D13" s="6"/>
      <c r="E13" s="48" t="s">
        <v>280</v>
      </c>
      <c r="F13" s="6">
        <f>3350</f>
        <v>3350</v>
      </c>
      <c r="G13" s="6">
        <f>SUM(D14:D18)-F13</f>
        <v>1835</v>
      </c>
    </row>
    <row r="14" spans="2:9" x14ac:dyDescent="0.2">
      <c r="B14" s="68"/>
      <c r="C14" s="6" t="s">
        <v>274</v>
      </c>
      <c r="D14" s="6">
        <f>4000</f>
        <v>4000</v>
      </c>
      <c r="E14" s="6"/>
      <c r="F14" s="6"/>
      <c r="G14" s="6"/>
      <c r="H14" s="2"/>
      <c r="I14" s="73"/>
    </row>
    <row r="15" spans="2:9" x14ac:dyDescent="0.2">
      <c r="B15" s="68"/>
      <c r="C15" s="6" t="s">
        <v>275</v>
      </c>
      <c r="D15" s="6">
        <f>750</f>
        <v>750</v>
      </c>
      <c r="E15" s="48" t="s">
        <v>281</v>
      </c>
      <c r="F15" s="6"/>
      <c r="G15" s="6"/>
      <c r="I15" s="73"/>
    </row>
    <row r="16" spans="2:9" x14ac:dyDescent="0.2">
      <c r="B16" s="68"/>
      <c r="C16" s="6" t="s">
        <v>276</v>
      </c>
      <c r="D16" s="6">
        <f>115</f>
        <v>115</v>
      </c>
      <c r="E16" s="6"/>
      <c r="F16" s="6"/>
      <c r="G16" s="6"/>
    </row>
    <row r="17" spans="2:8" x14ac:dyDescent="0.2">
      <c r="B17" s="68"/>
      <c r="C17" s="6" t="s">
        <v>277</v>
      </c>
      <c r="D17" s="6">
        <f>100</f>
        <v>100</v>
      </c>
      <c r="E17" s="6"/>
      <c r="F17" s="6"/>
      <c r="G17" s="6"/>
    </row>
    <row r="18" spans="2:8" x14ac:dyDescent="0.2">
      <c r="B18" s="68"/>
      <c r="C18" s="6" t="s">
        <v>278</v>
      </c>
      <c r="D18" s="6">
        <f>220</f>
        <v>220</v>
      </c>
      <c r="E18" s="48" t="s">
        <v>282</v>
      </c>
      <c r="F18" s="6"/>
      <c r="G18" s="6"/>
      <c r="H18" t="s">
        <v>413</v>
      </c>
    </row>
    <row r="19" spans="2:8" ht="35" customHeight="1" x14ac:dyDescent="0.2">
      <c r="B19" s="21" t="s">
        <v>408</v>
      </c>
      <c r="C19" s="8" t="s">
        <v>275</v>
      </c>
      <c r="D19" s="8">
        <v>195</v>
      </c>
      <c r="E19" s="8"/>
      <c r="F19" s="8"/>
      <c r="G19" s="5">
        <f>SUM(D19:D19)-F19</f>
        <v>195</v>
      </c>
    </row>
    <row r="20" spans="2:8" x14ac:dyDescent="0.2">
      <c r="B20" s="3" t="s">
        <v>6</v>
      </c>
      <c r="C20" s="2"/>
      <c r="D20" s="2"/>
      <c r="E20" s="2"/>
      <c r="F20" s="2"/>
      <c r="G20" s="4">
        <f>SUM(G7:G19)</f>
        <v>2130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232A-45A4-2A48-9286-440204DC1C70}">
  <dimension ref="B2:J42"/>
  <sheetViews>
    <sheetView topLeftCell="A16" zoomScale="93" zoomScaleNormal="80" workbookViewId="0">
      <selection activeCell="I42" sqref="I42"/>
    </sheetView>
  </sheetViews>
  <sheetFormatPr baseColWidth="10" defaultRowHeight="15" x14ac:dyDescent="0.2"/>
  <cols>
    <col min="2" max="2" width="21.33203125" customWidth="1"/>
    <col min="3" max="3" width="35.33203125" customWidth="1"/>
    <col min="6" max="6" width="13.5" customWidth="1"/>
  </cols>
  <sheetData>
    <row r="2" spans="2:8" ht="26" x14ac:dyDescent="0.3">
      <c r="B2" s="1" t="s">
        <v>52</v>
      </c>
      <c r="C2" s="2"/>
      <c r="D2" s="2"/>
      <c r="E2" s="2"/>
      <c r="F2" s="2"/>
      <c r="G2" s="2"/>
    </row>
    <row r="3" spans="2:8" x14ac:dyDescent="0.2">
      <c r="C3" s="2"/>
      <c r="D3" s="2"/>
      <c r="E3" s="2"/>
      <c r="F3" s="2"/>
      <c r="G3" s="2"/>
    </row>
    <row r="4" spans="2:8" x14ac:dyDescent="0.2">
      <c r="B4" s="124" t="s">
        <v>0</v>
      </c>
      <c r="C4" s="124" t="s">
        <v>1</v>
      </c>
      <c r="D4" s="125" t="s">
        <v>2</v>
      </c>
      <c r="E4" s="126" t="s">
        <v>3</v>
      </c>
      <c r="F4" s="126" t="s">
        <v>4</v>
      </c>
      <c r="G4" s="126" t="s">
        <v>5</v>
      </c>
      <c r="H4" s="127"/>
    </row>
    <row r="5" spans="2:8" x14ac:dyDescent="0.2">
      <c r="B5" s="128" t="s">
        <v>148</v>
      </c>
      <c r="C5" s="129"/>
      <c r="D5" s="129"/>
      <c r="E5" s="130">
        <v>0</v>
      </c>
      <c r="F5" s="129">
        <v>0</v>
      </c>
      <c r="G5" s="129"/>
      <c r="H5" s="127"/>
    </row>
    <row r="6" spans="2:8" ht="16" x14ac:dyDescent="0.2">
      <c r="B6" s="131"/>
      <c r="C6" s="132" t="s">
        <v>149</v>
      </c>
      <c r="D6" s="129">
        <v>60</v>
      </c>
      <c r="E6" s="130"/>
      <c r="F6" s="129"/>
      <c r="G6" s="129"/>
      <c r="H6" s="127"/>
    </row>
    <row r="7" spans="2:8" ht="16" x14ac:dyDescent="0.2">
      <c r="B7" s="131"/>
      <c r="C7" s="132" t="s">
        <v>150</v>
      </c>
      <c r="D7" s="129">
        <v>60</v>
      </c>
      <c r="E7" s="130"/>
      <c r="F7" s="129"/>
      <c r="G7" s="129">
        <f>SUM(D5:D7)</f>
        <v>120</v>
      </c>
      <c r="H7" s="127"/>
    </row>
    <row r="8" spans="2:8" ht="16" x14ac:dyDescent="0.2">
      <c r="B8" s="133" t="s">
        <v>398</v>
      </c>
      <c r="C8" s="134"/>
      <c r="D8" s="135"/>
      <c r="E8" s="136">
        <v>0</v>
      </c>
      <c r="F8" s="137">
        <v>0</v>
      </c>
      <c r="G8" s="136"/>
      <c r="H8" s="127"/>
    </row>
    <row r="9" spans="2:8" ht="32" x14ac:dyDescent="0.2">
      <c r="B9" s="133"/>
      <c r="C9" s="134" t="s">
        <v>151</v>
      </c>
      <c r="D9" s="135">
        <f>1*40</f>
        <v>40</v>
      </c>
      <c r="E9" s="138"/>
      <c r="F9" s="135"/>
      <c r="G9" s="135">
        <f>SUM(D9)</f>
        <v>40</v>
      </c>
      <c r="H9" s="127"/>
    </row>
    <row r="10" spans="2:8" ht="32" x14ac:dyDescent="0.2">
      <c r="B10" s="139" t="s">
        <v>152</v>
      </c>
      <c r="C10" s="132"/>
      <c r="D10" s="129"/>
      <c r="E10" s="130">
        <v>0</v>
      </c>
      <c r="F10" s="129">
        <v>0</v>
      </c>
      <c r="G10" s="130"/>
      <c r="H10" s="127"/>
    </row>
    <row r="11" spans="2:8" ht="16" x14ac:dyDescent="0.2">
      <c r="B11" s="139"/>
      <c r="C11" s="132" t="s">
        <v>153</v>
      </c>
      <c r="D11" s="130">
        <f>2*20</f>
        <v>40</v>
      </c>
      <c r="E11" s="129"/>
      <c r="F11" s="129"/>
      <c r="G11" s="129">
        <f>SUM(D10:D11)</f>
        <v>40</v>
      </c>
      <c r="H11" s="127"/>
    </row>
    <row r="12" spans="2:8" ht="32" x14ac:dyDescent="0.2">
      <c r="B12" s="140" t="s">
        <v>154</v>
      </c>
      <c r="C12" s="141"/>
      <c r="D12" s="136"/>
      <c r="E12" s="136" t="s">
        <v>155</v>
      </c>
      <c r="F12" s="136">
        <f>18*8</f>
        <v>144</v>
      </c>
      <c r="G12" s="137"/>
      <c r="H12" s="127"/>
    </row>
    <row r="13" spans="2:8" ht="32" x14ac:dyDescent="0.2">
      <c r="B13" s="142"/>
      <c r="C13" s="141" t="s">
        <v>418</v>
      </c>
      <c r="D13" s="136">
        <f>0.23*150*5</f>
        <v>172.5</v>
      </c>
      <c r="E13" s="136"/>
      <c r="F13" s="136"/>
      <c r="G13" s="137"/>
      <c r="H13" s="127"/>
    </row>
    <row r="14" spans="2:8" ht="32" x14ac:dyDescent="0.2">
      <c r="B14" s="142"/>
      <c r="C14" s="141" t="s">
        <v>156</v>
      </c>
      <c r="D14" s="136">
        <f>10*5</f>
        <v>50</v>
      </c>
      <c r="E14" s="136"/>
      <c r="F14" s="136"/>
      <c r="G14" s="137"/>
      <c r="H14" s="127"/>
    </row>
    <row r="15" spans="2:8" ht="16" x14ac:dyDescent="0.2">
      <c r="B15" s="142"/>
      <c r="C15" s="141" t="s">
        <v>157</v>
      </c>
      <c r="D15" s="136">
        <f>5*10</f>
        <v>50</v>
      </c>
      <c r="E15" s="136"/>
      <c r="F15" s="136"/>
      <c r="G15" s="137"/>
      <c r="H15" s="127"/>
    </row>
    <row r="16" spans="2:8" ht="16" x14ac:dyDescent="0.2">
      <c r="B16" s="142"/>
      <c r="C16" s="141" t="s">
        <v>158</v>
      </c>
      <c r="D16" s="136">
        <f>5*4</f>
        <v>20</v>
      </c>
      <c r="E16" s="136"/>
      <c r="F16" s="136"/>
      <c r="G16" s="137">
        <f>SUM(D12:D16)-F12</f>
        <v>148.5</v>
      </c>
      <c r="H16" s="127"/>
    </row>
    <row r="17" spans="2:10" ht="16" x14ac:dyDescent="0.2">
      <c r="B17" s="131" t="s">
        <v>159</v>
      </c>
      <c r="C17" s="132" t="s">
        <v>160</v>
      </c>
      <c r="D17" s="130"/>
      <c r="E17" s="130" t="s">
        <v>155</v>
      </c>
      <c r="F17" s="130">
        <f>18*8</f>
        <v>144</v>
      </c>
      <c r="G17" s="129"/>
      <c r="H17" s="127"/>
    </row>
    <row r="18" spans="2:10" ht="16" x14ac:dyDescent="0.2">
      <c r="B18" s="131"/>
      <c r="C18" s="132" t="s">
        <v>419</v>
      </c>
      <c r="D18" s="130">
        <f>0.23*150*5</f>
        <v>172.5</v>
      </c>
      <c r="E18" s="129"/>
      <c r="F18" s="129"/>
      <c r="G18" s="129"/>
      <c r="H18" s="127"/>
    </row>
    <row r="19" spans="2:10" ht="32" x14ac:dyDescent="0.2">
      <c r="B19" s="131"/>
      <c r="C19" s="132" t="s">
        <v>156</v>
      </c>
      <c r="D19" s="130">
        <v>50</v>
      </c>
      <c r="E19" s="129"/>
      <c r="F19" s="129"/>
      <c r="G19" s="129"/>
      <c r="H19" s="127"/>
    </row>
    <row r="20" spans="2:10" ht="16" x14ac:dyDescent="0.2">
      <c r="B20" s="131"/>
      <c r="C20" s="132" t="s">
        <v>157</v>
      </c>
      <c r="D20" s="130">
        <v>50</v>
      </c>
      <c r="E20" s="129"/>
      <c r="F20" s="129"/>
      <c r="G20" s="129"/>
      <c r="H20" s="127"/>
    </row>
    <row r="21" spans="2:10" ht="16" x14ac:dyDescent="0.2">
      <c r="B21" s="143"/>
      <c r="C21" s="144" t="s">
        <v>158</v>
      </c>
      <c r="D21" s="145">
        <v>20</v>
      </c>
      <c r="E21" s="146"/>
      <c r="F21" s="145"/>
      <c r="G21" s="145">
        <f>SUM(D17:D21)-F17</f>
        <v>148.5</v>
      </c>
      <c r="H21" s="127"/>
    </row>
    <row r="22" spans="2:10" ht="16" x14ac:dyDescent="0.2">
      <c r="B22" s="133" t="s">
        <v>161</v>
      </c>
      <c r="C22" s="134"/>
      <c r="D22" s="135"/>
      <c r="E22" s="136">
        <v>0</v>
      </c>
      <c r="F22" s="137">
        <v>0</v>
      </c>
      <c r="G22" s="137"/>
      <c r="H22" s="127"/>
    </row>
    <row r="23" spans="2:10" ht="16" x14ac:dyDescent="0.2">
      <c r="B23" s="133"/>
      <c r="C23" s="134" t="s">
        <v>162</v>
      </c>
      <c r="D23" s="135">
        <v>15</v>
      </c>
      <c r="E23" s="136"/>
      <c r="F23" s="137"/>
      <c r="G23" s="137">
        <f>SUM(D23)</f>
        <v>15</v>
      </c>
      <c r="H23" s="127"/>
    </row>
    <row r="24" spans="2:10" ht="48" x14ac:dyDescent="0.2">
      <c r="B24" s="143" t="s">
        <v>163</v>
      </c>
      <c r="C24" s="144"/>
      <c r="D24" s="145"/>
      <c r="E24" s="130">
        <v>0</v>
      </c>
      <c r="F24" s="129">
        <v>0</v>
      </c>
      <c r="G24" s="129">
        <f t="shared" ref="G24:G25" si="0">D24</f>
        <v>0</v>
      </c>
      <c r="H24" s="127"/>
      <c r="J24" s="127"/>
    </row>
    <row r="25" spans="2:10" ht="16" x14ac:dyDescent="0.2">
      <c r="B25" s="143"/>
      <c r="C25" s="144" t="s">
        <v>164</v>
      </c>
      <c r="D25" s="145">
        <v>714</v>
      </c>
      <c r="E25" s="146"/>
      <c r="F25" s="145"/>
      <c r="G25" s="145">
        <f t="shared" si="0"/>
        <v>714</v>
      </c>
      <c r="H25" s="127"/>
    </row>
    <row r="26" spans="2:10" x14ac:dyDescent="0.2">
      <c r="B26" s="133"/>
      <c r="C26" s="134"/>
      <c r="D26" s="135"/>
      <c r="E26" s="136">
        <v>0</v>
      </c>
      <c r="F26" s="137">
        <v>0</v>
      </c>
      <c r="G26" s="135"/>
      <c r="H26" s="127"/>
    </row>
    <row r="27" spans="2:10" ht="16" x14ac:dyDescent="0.2">
      <c r="B27" s="133" t="s">
        <v>165</v>
      </c>
      <c r="C27" s="134" t="s">
        <v>166</v>
      </c>
      <c r="D27" s="135">
        <f>8*5</f>
        <v>40</v>
      </c>
      <c r="E27" s="138"/>
      <c r="F27" s="135"/>
      <c r="G27" s="135"/>
      <c r="H27" s="127"/>
    </row>
    <row r="28" spans="2:10" ht="16" x14ac:dyDescent="0.2">
      <c r="B28" s="133"/>
      <c r="C28" s="134" t="s">
        <v>167</v>
      </c>
      <c r="D28" s="135">
        <f>12*2</f>
        <v>24</v>
      </c>
      <c r="E28" s="138"/>
      <c r="F28" s="135"/>
      <c r="G28" s="135">
        <f>SUM(D27:D28)</f>
        <v>64</v>
      </c>
      <c r="H28" s="127"/>
    </row>
    <row r="29" spans="2:10" ht="32" x14ac:dyDescent="0.2">
      <c r="B29" s="143" t="s">
        <v>168</v>
      </c>
      <c r="C29" s="132" t="s">
        <v>160</v>
      </c>
      <c r="D29" s="130"/>
      <c r="E29" s="130" t="s">
        <v>169</v>
      </c>
      <c r="F29" s="130">
        <f>10*10</f>
        <v>100</v>
      </c>
      <c r="G29" s="129"/>
      <c r="H29" s="127"/>
    </row>
    <row r="30" spans="2:10" ht="16" x14ac:dyDescent="0.2">
      <c r="B30" s="143"/>
      <c r="C30" s="132" t="s">
        <v>420</v>
      </c>
      <c r="D30" s="130">
        <f>0.23*200*3</f>
        <v>138</v>
      </c>
      <c r="E30" s="129"/>
      <c r="F30" s="129"/>
      <c r="G30" s="129"/>
      <c r="H30" s="127"/>
    </row>
    <row r="31" spans="2:10" ht="16" x14ac:dyDescent="0.2">
      <c r="B31" s="143"/>
      <c r="C31" s="132" t="s">
        <v>170</v>
      </c>
      <c r="D31" s="145">
        <f t="shared" ref="D31:D33" si="1">3*10</f>
        <v>30</v>
      </c>
      <c r="E31" s="129"/>
      <c r="F31" s="129"/>
      <c r="G31" s="129"/>
      <c r="H31" s="127"/>
    </row>
    <row r="32" spans="2:10" ht="16" x14ac:dyDescent="0.2">
      <c r="B32" s="143"/>
      <c r="C32" s="132" t="s">
        <v>157</v>
      </c>
      <c r="D32" s="130">
        <f t="shared" si="1"/>
        <v>30</v>
      </c>
      <c r="E32" s="129"/>
      <c r="F32" s="129"/>
      <c r="G32" s="129"/>
      <c r="H32" s="127"/>
    </row>
    <row r="33" spans="2:8" ht="16" x14ac:dyDescent="0.2">
      <c r="B33" s="143"/>
      <c r="C33" s="144" t="s">
        <v>158</v>
      </c>
      <c r="D33" s="145">
        <f t="shared" si="1"/>
        <v>30</v>
      </c>
      <c r="E33" s="146"/>
      <c r="F33" s="145"/>
      <c r="G33" s="145">
        <f>SUM(D29:D33)-F29</f>
        <v>128</v>
      </c>
      <c r="H33" s="127"/>
    </row>
    <row r="34" spans="2:8" ht="16" x14ac:dyDescent="0.2">
      <c r="B34" s="133" t="s">
        <v>171</v>
      </c>
      <c r="C34" s="134" t="s">
        <v>160</v>
      </c>
      <c r="D34" s="135"/>
      <c r="E34" s="138" t="s">
        <v>172</v>
      </c>
      <c r="F34" s="135">
        <f>25*8</f>
        <v>200</v>
      </c>
      <c r="G34" s="135"/>
      <c r="H34" s="127"/>
    </row>
    <row r="35" spans="2:8" ht="16" x14ac:dyDescent="0.2">
      <c r="B35" s="133"/>
      <c r="C35" s="134" t="s">
        <v>173</v>
      </c>
      <c r="D35" s="135">
        <f>16*25</f>
        <v>400</v>
      </c>
      <c r="E35" s="138"/>
      <c r="F35" s="135"/>
      <c r="G35" s="135">
        <f>D35-F34</f>
        <v>200</v>
      </c>
      <c r="H35" s="127"/>
    </row>
    <row r="36" spans="2:8" ht="48" x14ac:dyDescent="0.2">
      <c r="B36" s="143" t="s">
        <v>174</v>
      </c>
      <c r="C36" s="144" t="s">
        <v>160</v>
      </c>
      <c r="D36" s="145"/>
      <c r="E36" s="146" t="s">
        <v>175</v>
      </c>
      <c r="F36" s="145">
        <f>25*7</f>
        <v>175</v>
      </c>
      <c r="G36" s="145"/>
      <c r="H36" s="127"/>
    </row>
    <row r="37" spans="2:8" ht="16" x14ac:dyDescent="0.2">
      <c r="B37" s="143"/>
      <c r="C37" s="144" t="s">
        <v>176</v>
      </c>
      <c r="D37" s="145">
        <f>25*12.5</f>
        <v>312.5</v>
      </c>
      <c r="E37" s="146"/>
      <c r="F37" s="145"/>
      <c r="G37" s="145">
        <f>D37-F36</f>
        <v>137.5</v>
      </c>
      <c r="H37" s="127"/>
    </row>
    <row r="38" spans="2:8" ht="32" x14ac:dyDescent="0.2">
      <c r="B38" s="133" t="s">
        <v>177</v>
      </c>
      <c r="C38" s="134" t="s">
        <v>160</v>
      </c>
      <c r="D38" s="135"/>
      <c r="E38" s="138" t="s">
        <v>178</v>
      </c>
      <c r="F38" s="135">
        <f>30*10</f>
        <v>300</v>
      </c>
      <c r="G38" s="135"/>
      <c r="H38" s="127"/>
    </row>
    <row r="39" spans="2:8" ht="16" x14ac:dyDescent="0.2">
      <c r="B39" s="133"/>
      <c r="C39" s="134" t="s">
        <v>179</v>
      </c>
      <c r="D39" s="135">
        <f>30*15</f>
        <v>450</v>
      </c>
      <c r="E39" s="138"/>
      <c r="F39" s="135"/>
      <c r="G39" s="135">
        <f>D39-F38</f>
        <v>150</v>
      </c>
      <c r="H39" s="127"/>
    </row>
    <row r="40" spans="2:8" ht="16" x14ac:dyDescent="0.2">
      <c r="B40" s="143" t="s">
        <v>180</v>
      </c>
      <c r="C40" s="144" t="s">
        <v>181</v>
      </c>
      <c r="D40" s="145">
        <v>60</v>
      </c>
      <c r="E40" s="146"/>
      <c r="F40" s="145"/>
      <c r="G40" s="145">
        <v>60</v>
      </c>
      <c r="H40" s="127"/>
    </row>
    <row r="41" spans="2:8" x14ac:dyDescent="0.2">
      <c r="B41" s="147" t="s">
        <v>6</v>
      </c>
      <c r="C41" s="148"/>
      <c r="D41" s="149"/>
      <c r="E41" s="150"/>
      <c r="F41" s="151"/>
      <c r="G41" s="152">
        <f>SUM(G5:G40)</f>
        <v>1965.5</v>
      </c>
      <c r="H41" s="127"/>
    </row>
    <row r="42" spans="2:8" x14ac:dyDescent="0.2">
      <c r="B42" s="127"/>
      <c r="C42" s="127"/>
      <c r="D42" s="127"/>
      <c r="E42" s="127"/>
      <c r="F42" s="127"/>
      <c r="G42" s="127"/>
      <c r="H42" s="127"/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3A9B-4FEF-8B4A-9BA7-0F98B51EF864}">
  <dimension ref="B3:G33"/>
  <sheetViews>
    <sheetView topLeftCell="A18" zoomScale="110" workbookViewId="0">
      <selection activeCell="K19" sqref="K19"/>
    </sheetView>
  </sheetViews>
  <sheetFormatPr baseColWidth="10" defaultRowHeight="15" x14ac:dyDescent="0.2"/>
  <cols>
    <col min="2" max="2" width="26.83203125" customWidth="1"/>
    <col min="3" max="3" width="26.5" customWidth="1"/>
    <col min="4" max="4" width="16.5" customWidth="1"/>
    <col min="6" max="6" width="11.6640625" customWidth="1"/>
  </cols>
  <sheetData>
    <row r="3" spans="2:7" ht="26" x14ac:dyDescent="0.3">
      <c r="B3" s="1" t="s">
        <v>324</v>
      </c>
      <c r="C3" s="2"/>
      <c r="E3" s="2"/>
      <c r="F3" s="2"/>
      <c r="G3" s="2"/>
    </row>
    <row r="4" spans="2:7" ht="27" x14ac:dyDescent="0.45">
      <c r="B4" s="49"/>
      <c r="C4" s="2"/>
      <c r="D4" s="50"/>
      <c r="E4" s="2"/>
      <c r="F4" s="2"/>
      <c r="G4" s="2"/>
    </row>
    <row r="5" spans="2:7" x14ac:dyDescent="0.2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7" ht="32" x14ac:dyDescent="0.2">
      <c r="B6" s="69" t="s">
        <v>325</v>
      </c>
      <c r="C6" s="5"/>
      <c r="D6" s="5"/>
      <c r="E6" s="5" t="s">
        <v>326</v>
      </c>
      <c r="F6" s="5">
        <f>SUM(25*6)</f>
        <v>150</v>
      </c>
      <c r="G6" s="5">
        <f>SUM(D7:D8)-F6</f>
        <v>155</v>
      </c>
    </row>
    <row r="7" spans="2:7" ht="16" x14ac:dyDescent="0.2">
      <c r="B7" s="69"/>
      <c r="C7" s="17" t="s">
        <v>311</v>
      </c>
      <c r="D7" s="5">
        <v>270</v>
      </c>
      <c r="E7" s="5"/>
      <c r="F7" s="5"/>
      <c r="G7" s="5"/>
    </row>
    <row r="8" spans="2:7" ht="32" x14ac:dyDescent="0.2">
      <c r="B8" s="69"/>
      <c r="C8" s="17" t="s">
        <v>327</v>
      </c>
      <c r="D8" s="5">
        <v>35</v>
      </c>
      <c r="E8" s="5"/>
      <c r="F8" s="5"/>
      <c r="G8" s="5"/>
    </row>
    <row r="9" spans="2:7" ht="16" x14ac:dyDescent="0.2">
      <c r="B9" s="68" t="s">
        <v>328</v>
      </c>
      <c r="C9" s="55"/>
      <c r="D9" s="6"/>
      <c r="E9" s="6" t="s">
        <v>326</v>
      </c>
      <c r="F9" s="6">
        <f>SUM(25*6)</f>
        <v>150</v>
      </c>
      <c r="G9" s="6">
        <f>SUM(D10:D11)-F9</f>
        <v>155</v>
      </c>
    </row>
    <row r="10" spans="2:7" ht="16" x14ac:dyDescent="0.2">
      <c r="B10" s="68"/>
      <c r="C10" s="55" t="s">
        <v>311</v>
      </c>
      <c r="D10" s="6">
        <v>270</v>
      </c>
      <c r="E10" s="6"/>
      <c r="F10" s="6"/>
      <c r="G10" s="6"/>
    </row>
    <row r="11" spans="2:7" ht="32" x14ac:dyDescent="0.2">
      <c r="B11" s="68"/>
      <c r="C11" s="55" t="s">
        <v>327</v>
      </c>
      <c r="D11" s="6">
        <v>35</v>
      </c>
      <c r="E11" s="6"/>
      <c r="F11" s="6"/>
      <c r="G11" s="6"/>
    </row>
    <row r="12" spans="2:7" ht="32" x14ac:dyDescent="0.2">
      <c r="B12" s="69" t="s">
        <v>329</v>
      </c>
      <c r="C12" s="17"/>
      <c r="D12" s="5"/>
      <c r="E12" s="5" t="s">
        <v>330</v>
      </c>
      <c r="F12" s="5">
        <f>SUM(25*7)</f>
        <v>175</v>
      </c>
      <c r="G12" s="5">
        <f>SUM(D13:D14)-F12</f>
        <v>170</v>
      </c>
    </row>
    <row r="13" spans="2:7" ht="16" x14ac:dyDescent="0.2">
      <c r="B13" s="69"/>
      <c r="C13" s="17" t="s">
        <v>311</v>
      </c>
      <c r="D13" s="5">
        <v>310</v>
      </c>
      <c r="E13" s="5"/>
      <c r="F13" s="5"/>
      <c r="G13" s="5"/>
    </row>
    <row r="14" spans="2:7" ht="32" x14ac:dyDescent="0.2">
      <c r="B14" s="69"/>
      <c r="C14" s="17" t="s">
        <v>327</v>
      </c>
      <c r="D14" s="5">
        <v>35</v>
      </c>
      <c r="E14" s="5"/>
      <c r="F14" s="5"/>
      <c r="G14" s="5"/>
    </row>
    <row r="15" spans="2:7" ht="32" x14ac:dyDescent="0.2">
      <c r="B15" s="68" t="s">
        <v>331</v>
      </c>
      <c r="C15" s="55"/>
      <c r="D15" s="6"/>
      <c r="E15" s="6" t="s">
        <v>471</v>
      </c>
      <c r="F15" s="6">
        <f>SUM(25*7)</f>
        <v>175</v>
      </c>
      <c r="G15" s="6">
        <f>SUM(D16:D17)-F15</f>
        <v>210</v>
      </c>
    </row>
    <row r="16" spans="2:7" ht="16" x14ac:dyDescent="0.2">
      <c r="B16" s="68"/>
      <c r="C16" s="55" t="s">
        <v>332</v>
      </c>
      <c r="D16" s="6">
        <v>350</v>
      </c>
      <c r="E16" s="6"/>
      <c r="F16" s="6"/>
      <c r="G16" s="6"/>
    </row>
    <row r="17" spans="2:7" ht="16" x14ac:dyDescent="0.2">
      <c r="B17" s="68"/>
      <c r="C17" s="55" t="s">
        <v>97</v>
      </c>
      <c r="D17" s="6">
        <v>35</v>
      </c>
      <c r="E17" s="6"/>
      <c r="F17" s="6"/>
      <c r="G17" s="6"/>
    </row>
    <row r="18" spans="2:7" ht="32" x14ac:dyDescent="0.2">
      <c r="B18" s="69" t="s">
        <v>333</v>
      </c>
      <c r="C18" s="17"/>
      <c r="D18" s="5"/>
      <c r="E18" s="5" t="s">
        <v>334</v>
      </c>
      <c r="F18" s="5">
        <f>SUM(30*6)</f>
        <v>180</v>
      </c>
      <c r="G18" s="5">
        <f>SUM(D19:D20)-F18</f>
        <v>155</v>
      </c>
    </row>
    <row r="19" spans="2:7" ht="16" x14ac:dyDescent="0.2">
      <c r="B19" s="69"/>
      <c r="C19" s="17" t="s">
        <v>332</v>
      </c>
      <c r="D19" s="5">
        <v>300</v>
      </c>
      <c r="E19" s="5"/>
      <c r="F19" s="5"/>
      <c r="G19" s="5"/>
    </row>
    <row r="20" spans="2:7" ht="16" x14ac:dyDescent="0.2">
      <c r="B20" s="69"/>
      <c r="C20" s="17" t="s">
        <v>97</v>
      </c>
      <c r="D20" s="5">
        <v>35</v>
      </c>
      <c r="E20" s="5"/>
      <c r="F20" s="5"/>
      <c r="G20" s="5"/>
    </row>
    <row r="21" spans="2:7" ht="16" x14ac:dyDescent="0.2">
      <c r="B21" s="68" t="s">
        <v>335</v>
      </c>
      <c r="C21" s="55"/>
      <c r="D21" s="6"/>
      <c r="E21" s="6"/>
      <c r="F21" s="6"/>
      <c r="G21" s="6"/>
    </row>
    <row r="22" spans="2:7" ht="48" x14ac:dyDescent="0.2">
      <c r="B22" s="68"/>
      <c r="C22" s="55" t="s">
        <v>336</v>
      </c>
      <c r="D22" s="6" t="s">
        <v>337</v>
      </c>
      <c r="E22" s="6">
        <v>0</v>
      </c>
      <c r="F22" s="6">
        <v>0</v>
      </c>
      <c r="G22" s="6">
        <f>SUM(35*1.5)+(1.75*20)+(25)</f>
        <v>112.5</v>
      </c>
    </row>
    <row r="23" spans="2:7" ht="48" x14ac:dyDescent="0.2">
      <c r="B23" s="68"/>
      <c r="C23" s="55" t="s">
        <v>338</v>
      </c>
      <c r="D23" s="6" t="s">
        <v>339</v>
      </c>
      <c r="E23" s="6">
        <v>0</v>
      </c>
      <c r="F23" s="6">
        <v>0</v>
      </c>
      <c r="G23" s="6"/>
    </row>
    <row r="24" spans="2:7" ht="16" x14ac:dyDescent="0.2">
      <c r="B24" s="68"/>
      <c r="C24" s="55" t="s">
        <v>455</v>
      </c>
      <c r="D24" s="6">
        <f>10+15</f>
        <v>25</v>
      </c>
      <c r="E24" s="6">
        <v>0</v>
      </c>
      <c r="F24" s="6">
        <v>0</v>
      </c>
      <c r="G24" s="6"/>
    </row>
    <row r="25" spans="2:7" ht="16" x14ac:dyDescent="0.2">
      <c r="B25" s="69" t="s">
        <v>340</v>
      </c>
      <c r="C25" s="17"/>
      <c r="D25" s="5"/>
      <c r="E25" s="5" t="s">
        <v>341</v>
      </c>
      <c r="F25" s="5">
        <f>SUM(30*7)</f>
        <v>210</v>
      </c>
      <c r="G25" s="5">
        <f>SUM(D26:D28)-F25</f>
        <v>170</v>
      </c>
    </row>
    <row r="26" spans="2:7" ht="16" x14ac:dyDescent="0.2">
      <c r="B26" s="69"/>
      <c r="C26" s="17" t="s">
        <v>342</v>
      </c>
      <c r="D26" s="5">
        <v>300</v>
      </c>
      <c r="E26" s="5"/>
      <c r="F26" s="5"/>
      <c r="G26" s="5"/>
    </row>
    <row r="27" spans="2:7" ht="16" x14ac:dyDescent="0.2">
      <c r="B27" s="69"/>
      <c r="C27" s="17" t="s">
        <v>343</v>
      </c>
      <c r="D27" s="5">
        <v>30</v>
      </c>
      <c r="E27" s="5"/>
      <c r="F27" s="5"/>
      <c r="G27" s="5"/>
    </row>
    <row r="28" spans="2:7" ht="48" x14ac:dyDescent="0.2">
      <c r="B28" s="40"/>
      <c r="C28" s="17" t="s">
        <v>344</v>
      </c>
      <c r="D28" s="5">
        <v>50</v>
      </c>
      <c r="E28" s="5"/>
      <c r="F28" s="5"/>
      <c r="G28" s="5"/>
    </row>
    <row r="29" spans="2:7" x14ac:dyDescent="0.2">
      <c r="B29" s="3" t="s">
        <v>6</v>
      </c>
      <c r="C29" s="2"/>
      <c r="D29" s="2"/>
      <c r="E29" s="2"/>
      <c r="F29" s="2"/>
      <c r="G29" s="4">
        <f>SUM(G6:G25)</f>
        <v>1127.5</v>
      </c>
    </row>
    <row r="33" spans="2:5" ht="18" x14ac:dyDescent="0.2">
      <c r="B33" s="175"/>
      <c r="C33" s="176"/>
      <c r="D33" s="177"/>
      <c r="E33" s="17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2AB31-D97F-8F4B-9B38-8B7A4FE6D7D8}">
  <dimension ref="B4:G15"/>
  <sheetViews>
    <sheetView zoomScale="150" workbookViewId="0">
      <selection activeCell="G14" sqref="G14"/>
    </sheetView>
  </sheetViews>
  <sheetFormatPr baseColWidth="10" defaultRowHeight="15" x14ac:dyDescent="0.2"/>
  <cols>
    <col min="2" max="2" width="21.33203125" customWidth="1"/>
    <col min="3" max="3" width="17.83203125" customWidth="1"/>
    <col min="6" max="6" width="13" customWidth="1"/>
  </cols>
  <sheetData>
    <row r="4" spans="2:7" ht="26" x14ac:dyDescent="0.3">
      <c r="B4" s="1" t="s">
        <v>47</v>
      </c>
      <c r="C4" s="2"/>
      <c r="D4" s="2"/>
      <c r="E4" s="2"/>
      <c r="F4" s="2"/>
      <c r="G4" s="2"/>
    </row>
    <row r="5" spans="2:7" x14ac:dyDescent="0.2">
      <c r="C5" s="2"/>
      <c r="D5" s="2"/>
      <c r="E5" s="2"/>
      <c r="F5" s="2"/>
      <c r="G5" s="2"/>
    </row>
    <row r="6" spans="2:7" x14ac:dyDescent="0.2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2:7" x14ac:dyDescent="0.2">
      <c r="B7" s="20" t="s">
        <v>124</v>
      </c>
      <c r="C7" s="5"/>
      <c r="D7" s="5"/>
      <c r="E7" s="5"/>
      <c r="F7" s="5"/>
      <c r="G7" s="5">
        <f>SUM(D8:D10)-F7</f>
        <v>412.5</v>
      </c>
    </row>
    <row r="8" spans="2:7" x14ac:dyDescent="0.2">
      <c r="B8" s="20"/>
      <c r="C8" s="5" t="s">
        <v>125</v>
      </c>
      <c r="D8" s="5">
        <v>400</v>
      </c>
      <c r="E8" s="5"/>
      <c r="F8" s="5"/>
      <c r="G8" s="5"/>
    </row>
    <row r="9" spans="2:7" x14ac:dyDescent="0.2">
      <c r="B9" s="20"/>
      <c r="C9" s="5" t="s">
        <v>393</v>
      </c>
      <c r="D9" s="5">
        <v>12.5</v>
      </c>
      <c r="E9" s="5"/>
      <c r="F9" s="5"/>
      <c r="G9" s="5"/>
    </row>
    <row r="10" spans="2:7" x14ac:dyDescent="0.2">
      <c r="B10" s="20"/>
      <c r="C10" s="5"/>
      <c r="D10" s="5"/>
      <c r="E10" s="5"/>
      <c r="F10" s="5"/>
      <c r="G10" s="5"/>
    </row>
    <row r="11" spans="2:7" x14ac:dyDescent="0.2">
      <c r="B11" s="19" t="s">
        <v>126</v>
      </c>
      <c r="C11" s="6"/>
      <c r="D11" s="6"/>
      <c r="E11" s="6"/>
      <c r="F11" s="6"/>
      <c r="G11" s="6">
        <f>SUM(D12:D13)</f>
        <v>412.5</v>
      </c>
    </row>
    <row r="12" spans="2:7" x14ac:dyDescent="0.2">
      <c r="B12" s="19"/>
      <c r="C12" s="6" t="s">
        <v>125</v>
      </c>
      <c r="D12" s="6">
        <f>400</f>
        <v>400</v>
      </c>
      <c r="E12" s="6"/>
      <c r="F12" s="6"/>
      <c r="G12" s="6"/>
    </row>
    <row r="13" spans="2:7" x14ac:dyDescent="0.2">
      <c r="B13" s="19"/>
      <c r="C13" s="6" t="s">
        <v>393</v>
      </c>
      <c r="D13" s="6">
        <f>12.5</f>
        <v>12.5</v>
      </c>
      <c r="E13" s="6"/>
      <c r="F13" s="6"/>
      <c r="G13" s="6"/>
    </row>
    <row r="14" spans="2:7" ht="48" x14ac:dyDescent="0.2">
      <c r="B14" s="21" t="s">
        <v>127</v>
      </c>
      <c r="C14" s="18" t="s">
        <v>450</v>
      </c>
      <c r="D14" s="8">
        <v>100</v>
      </c>
      <c r="E14" s="8"/>
      <c r="F14" s="8"/>
      <c r="G14" s="8">
        <f>D14</f>
        <v>100</v>
      </c>
    </row>
    <row r="15" spans="2:7" x14ac:dyDescent="0.2">
      <c r="B15" s="3" t="s">
        <v>6</v>
      </c>
      <c r="C15" s="2"/>
      <c r="D15" s="2"/>
      <c r="E15" s="2"/>
      <c r="F15" s="2"/>
      <c r="G15" s="4">
        <f>SUM(G7:G14)</f>
        <v>925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C4C0-443B-0A4D-A627-EAE5D726EA3D}">
  <dimension ref="B4:G23"/>
  <sheetViews>
    <sheetView topLeftCell="A2" zoomScale="135" workbookViewId="0">
      <selection activeCell="H23" sqref="H23"/>
    </sheetView>
  </sheetViews>
  <sheetFormatPr baseColWidth="10" defaultRowHeight="15" x14ac:dyDescent="0.2"/>
  <cols>
    <col min="2" max="2" width="19" customWidth="1"/>
    <col min="3" max="3" width="21.83203125" customWidth="1"/>
    <col min="6" max="6" width="13.33203125" customWidth="1"/>
  </cols>
  <sheetData>
    <row r="4" spans="2:7" ht="26" x14ac:dyDescent="0.3">
      <c r="B4" s="12" t="s">
        <v>45</v>
      </c>
      <c r="C4" s="12"/>
      <c r="D4" s="12"/>
      <c r="E4" s="14"/>
      <c r="F4" s="14"/>
      <c r="G4" s="14"/>
    </row>
    <row r="5" spans="2:7" x14ac:dyDescent="0.2">
      <c r="B5" s="13"/>
      <c r="C5" s="14"/>
      <c r="D5" s="14"/>
      <c r="E5" s="14"/>
      <c r="F5" s="14"/>
      <c r="G5" s="14"/>
    </row>
    <row r="6" spans="2:7" x14ac:dyDescent="0.2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2:7" ht="16" x14ac:dyDescent="0.2">
      <c r="B7" s="85" t="s">
        <v>216</v>
      </c>
      <c r="C7" s="5"/>
      <c r="D7" s="5"/>
      <c r="E7" s="5"/>
      <c r="F7" s="5"/>
      <c r="G7" s="5">
        <f>SUM(D8:D9)-F7</f>
        <v>12.5</v>
      </c>
    </row>
    <row r="8" spans="2:7" x14ac:dyDescent="0.2">
      <c r="B8" s="20"/>
      <c r="C8" s="5" t="s">
        <v>97</v>
      </c>
      <c r="D8" s="5">
        <v>12.5</v>
      </c>
      <c r="E8" s="5"/>
      <c r="F8" s="5"/>
      <c r="G8" s="5"/>
    </row>
    <row r="9" spans="2:7" x14ac:dyDescent="0.2">
      <c r="B9" s="69"/>
      <c r="C9" s="5"/>
      <c r="D9" s="5"/>
      <c r="E9" s="5"/>
      <c r="F9" s="5"/>
      <c r="G9" s="5"/>
    </row>
    <row r="10" spans="2:7" ht="17" x14ac:dyDescent="0.2">
      <c r="B10" s="77" t="s">
        <v>217</v>
      </c>
      <c r="C10" s="6"/>
      <c r="D10" s="6"/>
      <c r="E10" s="6"/>
      <c r="F10" s="6"/>
      <c r="G10" s="6">
        <f>SUM(D11:D12)-F10</f>
        <v>22.5</v>
      </c>
    </row>
    <row r="11" spans="2:7" x14ac:dyDescent="0.2">
      <c r="B11" s="68"/>
      <c r="C11" s="6" t="s">
        <v>218</v>
      </c>
      <c r="D11" s="6">
        <v>10</v>
      </c>
      <c r="E11" s="6"/>
      <c r="F11" s="6"/>
      <c r="G11" s="6"/>
    </row>
    <row r="12" spans="2:7" x14ac:dyDescent="0.2">
      <c r="B12" s="68"/>
      <c r="C12" s="6" t="s">
        <v>97</v>
      </c>
      <c r="D12" s="6">
        <v>12.5</v>
      </c>
      <c r="E12" s="6"/>
      <c r="F12" s="6"/>
      <c r="G12" s="6"/>
    </row>
    <row r="13" spans="2:7" ht="17" x14ac:dyDescent="0.2">
      <c r="B13" s="75" t="s">
        <v>219</v>
      </c>
      <c r="C13" s="5"/>
      <c r="D13" s="5"/>
      <c r="E13" s="5"/>
      <c r="F13" s="5"/>
      <c r="G13" s="5">
        <f>SUM(D14:D15)-F13</f>
        <v>22.5</v>
      </c>
    </row>
    <row r="14" spans="2:7" x14ac:dyDescent="0.2">
      <c r="B14" s="69"/>
      <c r="C14" s="5" t="s">
        <v>218</v>
      </c>
      <c r="D14" s="5">
        <v>10</v>
      </c>
      <c r="E14" s="5"/>
      <c r="F14" s="5"/>
      <c r="G14" s="5"/>
    </row>
    <row r="15" spans="2:7" x14ac:dyDescent="0.2">
      <c r="B15" s="69"/>
      <c r="C15" s="5" t="s">
        <v>97</v>
      </c>
      <c r="D15" s="5">
        <v>12.5</v>
      </c>
      <c r="E15" s="5"/>
      <c r="F15" s="5"/>
      <c r="G15" s="5"/>
    </row>
    <row r="16" spans="2:7" ht="17" x14ac:dyDescent="0.2">
      <c r="B16" s="77" t="s">
        <v>220</v>
      </c>
      <c r="C16" s="6"/>
      <c r="D16" s="6"/>
      <c r="E16" s="6"/>
      <c r="F16" s="6"/>
      <c r="G16" s="6">
        <f>SUM(D17:D18)-F16</f>
        <v>22.5</v>
      </c>
    </row>
    <row r="17" spans="2:7" x14ac:dyDescent="0.2">
      <c r="B17" s="68"/>
      <c r="C17" s="6" t="s">
        <v>221</v>
      </c>
      <c r="D17" s="6">
        <v>10</v>
      </c>
      <c r="E17" s="6"/>
      <c r="F17" s="6"/>
      <c r="G17" s="6"/>
    </row>
    <row r="18" spans="2:7" x14ac:dyDescent="0.2">
      <c r="B18" s="68"/>
      <c r="C18" s="6" t="s">
        <v>97</v>
      </c>
      <c r="D18" s="6">
        <v>12.5</v>
      </c>
      <c r="E18" s="6"/>
      <c r="F18" s="6"/>
      <c r="G18" s="6"/>
    </row>
    <row r="19" spans="2:7" ht="34" x14ac:dyDescent="0.2">
      <c r="B19" s="75" t="s">
        <v>222</v>
      </c>
      <c r="C19" s="5"/>
      <c r="D19" s="5"/>
      <c r="E19" s="5" t="s">
        <v>432</v>
      </c>
      <c r="F19" s="5">
        <f>20*56</f>
        <v>1120</v>
      </c>
      <c r="G19" s="5">
        <f>SUM(D20:D22)-F19</f>
        <v>600</v>
      </c>
    </row>
    <row r="20" spans="2:7" x14ac:dyDescent="0.2">
      <c r="B20" s="69"/>
      <c r="C20" s="5" t="s">
        <v>223</v>
      </c>
      <c r="D20" s="5">
        <v>600</v>
      </c>
      <c r="E20" s="5"/>
      <c r="F20" s="5"/>
      <c r="G20" s="5"/>
    </row>
    <row r="21" spans="2:7" x14ac:dyDescent="0.2">
      <c r="B21" s="69"/>
      <c r="C21" s="5" t="s">
        <v>224</v>
      </c>
      <c r="D21" s="5">
        <f>50*20</f>
        <v>1000</v>
      </c>
      <c r="E21" s="5"/>
      <c r="F21" s="5"/>
      <c r="G21" s="5"/>
    </row>
    <row r="22" spans="2:7" x14ac:dyDescent="0.2">
      <c r="B22" s="20"/>
      <c r="C22" s="5" t="s">
        <v>3</v>
      </c>
      <c r="D22" s="5">
        <f>6*20</f>
        <v>120</v>
      </c>
      <c r="E22" s="5"/>
      <c r="F22" s="5"/>
      <c r="G22" s="5"/>
    </row>
    <row r="23" spans="2:7" x14ac:dyDescent="0.2">
      <c r="B23" s="3" t="s">
        <v>6</v>
      </c>
      <c r="C23" s="2"/>
      <c r="D23" s="2"/>
      <c r="E23" s="2"/>
      <c r="F23" s="2"/>
      <c r="G23" s="4">
        <f>SUM(G7:G22)</f>
        <v>680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463B-A849-2A48-8879-DF6C9FE90A6D}">
  <dimension ref="B4:G21"/>
  <sheetViews>
    <sheetView topLeftCell="A4" zoomScale="150" workbookViewId="0">
      <selection activeCell="G21" sqref="G21"/>
    </sheetView>
  </sheetViews>
  <sheetFormatPr baseColWidth="10" defaultRowHeight="15" x14ac:dyDescent="0.2"/>
  <cols>
    <col min="2" max="2" width="22.1640625" customWidth="1"/>
    <col min="3" max="3" width="24.5" customWidth="1"/>
    <col min="4" max="4" width="12.6640625" customWidth="1"/>
    <col min="5" max="5" width="8.1640625" customWidth="1"/>
    <col min="6" max="6" width="12.5" customWidth="1"/>
  </cols>
  <sheetData>
    <row r="4" spans="2:7" ht="26" x14ac:dyDescent="0.3">
      <c r="B4" s="1" t="s">
        <v>39</v>
      </c>
      <c r="C4" s="2"/>
      <c r="D4" s="2"/>
      <c r="E4" s="2"/>
      <c r="F4" s="2"/>
      <c r="G4" s="2"/>
    </row>
    <row r="5" spans="2:7" x14ac:dyDescent="0.2">
      <c r="C5" s="2"/>
      <c r="D5" s="2"/>
      <c r="E5" s="2"/>
      <c r="F5" s="2"/>
      <c r="G5" s="2"/>
    </row>
    <row r="6" spans="2:7" x14ac:dyDescent="0.2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2:7" ht="32" x14ac:dyDescent="0.2">
      <c r="B7" s="69" t="s">
        <v>261</v>
      </c>
      <c r="C7" s="5"/>
      <c r="D7" s="5"/>
      <c r="E7" s="5"/>
      <c r="F7" s="5"/>
      <c r="G7" s="5">
        <f>SUM(D8:D12)</f>
        <v>215</v>
      </c>
    </row>
    <row r="8" spans="2:7" x14ac:dyDescent="0.2">
      <c r="B8" s="69"/>
      <c r="C8" s="5" t="s">
        <v>262</v>
      </c>
      <c r="D8" s="5">
        <v>50</v>
      </c>
      <c r="E8" s="5"/>
      <c r="F8" s="5"/>
      <c r="G8" s="5"/>
    </row>
    <row r="9" spans="2:7" x14ac:dyDescent="0.2">
      <c r="B9" s="69"/>
      <c r="C9" s="5" t="s">
        <v>263</v>
      </c>
      <c r="D9" s="5">
        <v>100</v>
      </c>
      <c r="E9" s="5"/>
      <c r="F9" s="5"/>
      <c r="G9" s="5"/>
    </row>
    <row r="10" spans="2:7" x14ac:dyDescent="0.2">
      <c r="B10" s="69"/>
      <c r="C10" s="5" t="s">
        <v>264</v>
      </c>
      <c r="D10" s="5">
        <v>30</v>
      </c>
      <c r="E10" s="5"/>
      <c r="F10" s="5"/>
      <c r="G10" s="5"/>
    </row>
    <row r="11" spans="2:7" x14ac:dyDescent="0.2">
      <c r="B11" s="69"/>
      <c r="C11" s="5" t="s">
        <v>265</v>
      </c>
      <c r="D11" s="5">
        <v>5</v>
      </c>
      <c r="E11" s="5"/>
      <c r="F11" s="5"/>
      <c r="G11" s="5"/>
    </row>
    <row r="12" spans="2:7" x14ac:dyDescent="0.2">
      <c r="B12" s="69"/>
      <c r="C12" s="5" t="s">
        <v>428</v>
      </c>
      <c r="D12" s="5">
        <v>30</v>
      </c>
      <c r="E12" s="5"/>
      <c r="F12" s="5"/>
      <c r="G12" s="5"/>
    </row>
    <row r="13" spans="2:7" ht="16" x14ac:dyDescent="0.2">
      <c r="B13" s="68" t="s">
        <v>266</v>
      </c>
      <c r="C13" s="6"/>
      <c r="D13" s="6"/>
      <c r="E13" s="6"/>
      <c r="F13" s="6"/>
      <c r="G13" s="6">
        <f>SUM(D14:D14)</f>
        <v>250</v>
      </c>
    </row>
    <row r="14" spans="2:7" x14ac:dyDescent="0.2">
      <c r="B14" s="68"/>
      <c r="C14" s="6" t="s">
        <v>472</v>
      </c>
      <c r="D14" s="6">
        <f>250</f>
        <v>250</v>
      </c>
      <c r="E14" s="6"/>
      <c r="F14" s="6"/>
      <c r="G14" s="6"/>
    </row>
    <row r="15" spans="2:7" ht="16" x14ac:dyDescent="0.2">
      <c r="B15" s="21" t="s">
        <v>267</v>
      </c>
      <c r="C15" s="8" t="s">
        <v>268</v>
      </c>
      <c r="D15" s="8">
        <f>25</f>
        <v>25</v>
      </c>
      <c r="E15" s="8"/>
      <c r="F15" s="8"/>
      <c r="G15" s="8">
        <f>SUM(D15:D16)</f>
        <v>50</v>
      </c>
    </row>
    <row r="16" spans="2:7" x14ac:dyDescent="0.2">
      <c r="B16" s="21"/>
      <c r="C16" s="8" t="s">
        <v>269</v>
      </c>
      <c r="D16" s="8">
        <v>25</v>
      </c>
      <c r="E16" s="8"/>
      <c r="F16" s="8"/>
      <c r="G16" s="8"/>
    </row>
    <row r="17" spans="2:7" ht="16" x14ac:dyDescent="0.2">
      <c r="B17" s="22" t="s">
        <v>270</v>
      </c>
      <c r="C17" s="7" t="s">
        <v>429</v>
      </c>
      <c r="D17" s="7">
        <f>120</f>
        <v>120</v>
      </c>
      <c r="E17" s="7"/>
      <c r="F17" s="7"/>
      <c r="G17" s="7">
        <f>SUM(D17:D18)</f>
        <v>132</v>
      </c>
    </row>
    <row r="18" spans="2:7" x14ac:dyDescent="0.2">
      <c r="B18" s="22"/>
      <c r="C18" s="7" t="s">
        <v>97</v>
      </c>
      <c r="D18" s="7">
        <v>12</v>
      </c>
      <c r="E18" s="7"/>
      <c r="F18" s="7"/>
      <c r="G18" s="7"/>
    </row>
    <row r="19" spans="2:7" ht="16" x14ac:dyDescent="0.2">
      <c r="B19" s="21" t="s">
        <v>271</v>
      </c>
      <c r="C19" s="8" t="s">
        <v>272</v>
      </c>
      <c r="D19" s="8">
        <v>25</v>
      </c>
      <c r="E19" s="8"/>
      <c r="F19" s="8"/>
      <c r="G19" s="8">
        <f>D19</f>
        <v>25</v>
      </c>
    </row>
    <row r="20" spans="2:7" x14ac:dyDescent="0.2">
      <c r="B20" s="24"/>
      <c r="C20" s="8"/>
      <c r="D20" s="8"/>
      <c r="E20" s="8"/>
      <c r="F20" s="8"/>
      <c r="G20" s="8"/>
    </row>
    <row r="21" spans="2:7" x14ac:dyDescent="0.2">
      <c r="B21" s="3" t="s">
        <v>6</v>
      </c>
      <c r="C21" s="2"/>
      <c r="D21" s="2"/>
      <c r="E21" s="2"/>
      <c r="F21" s="2"/>
      <c r="G21" s="4">
        <f>SUM(G7:G19)</f>
        <v>672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F310A-DB1A-5445-88FE-AA5C8656CF06}">
  <dimension ref="B4:G21"/>
  <sheetViews>
    <sheetView zoomScale="132" workbookViewId="0">
      <selection activeCell="G21" sqref="G21"/>
    </sheetView>
  </sheetViews>
  <sheetFormatPr baseColWidth="10" defaultRowHeight="15" x14ac:dyDescent="0.2"/>
  <cols>
    <col min="2" max="2" width="14.6640625" customWidth="1"/>
    <col min="3" max="3" width="21.83203125" customWidth="1"/>
    <col min="6" max="6" width="15.5" customWidth="1"/>
  </cols>
  <sheetData>
    <row r="4" spans="2:7" ht="26" x14ac:dyDescent="0.3">
      <c r="B4" s="12" t="s">
        <v>193</v>
      </c>
      <c r="C4" s="12"/>
      <c r="D4" s="14"/>
      <c r="E4" s="14"/>
      <c r="F4" s="14"/>
      <c r="G4" s="14"/>
    </row>
    <row r="6" spans="2:7" x14ac:dyDescent="0.2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2:7" ht="16" x14ac:dyDescent="0.2">
      <c r="B7" s="69" t="s">
        <v>194</v>
      </c>
      <c r="C7" s="5"/>
      <c r="D7" s="5"/>
      <c r="E7" s="5"/>
      <c r="F7" s="5"/>
      <c r="G7" s="5">
        <f>SUM(D8:D12)-F10</f>
        <v>180</v>
      </c>
    </row>
    <row r="8" spans="2:7" x14ac:dyDescent="0.2">
      <c r="B8" s="69"/>
      <c r="C8" s="5" t="s">
        <v>195</v>
      </c>
      <c r="D8" s="5">
        <v>70</v>
      </c>
      <c r="E8" s="5"/>
      <c r="F8" s="5"/>
      <c r="G8" s="5"/>
    </row>
    <row r="9" spans="2:7" x14ac:dyDescent="0.2">
      <c r="B9" s="69"/>
      <c r="C9" s="5" t="s">
        <v>196</v>
      </c>
      <c r="D9" s="5">
        <v>90</v>
      </c>
      <c r="E9" s="5"/>
      <c r="F9" s="5"/>
      <c r="G9" s="5"/>
    </row>
    <row r="10" spans="2:7" x14ac:dyDescent="0.2">
      <c r="B10" s="69"/>
      <c r="C10" s="5" t="s">
        <v>456</v>
      </c>
      <c r="D10" s="5">
        <v>40</v>
      </c>
      <c r="E10" s="5" t="s">
        <v>457</v>
      </c>
      <c r="F10" s="5">
        <f>40*1.5</f>
        <v>60</v>
      </c>
      <c r="G10" s="5"/>
    </row>
    <row r="11" spans="2:7" x14ac:dyDescent="0.2">
      <c r="B11" s="69"/>
      <c r="C11" s="5" t="s">
        <v>56</v>
      </c>
      <c r="D11" s="5">
        <v>30</v>
      </c>
      <c r="E11" s="5"/>
      <c r="F11" s="5"/>
      <c r="G11" s="5"/>
    </row>
    <row r="12" spans="2:7" x14ac:dyDescent="0.2">
      <c r="B12" s="69"/>
      <c r="C12" s="5" t="s">
        <v>197</v>
      </c>
      <c r="D12" s="5">
        <v>10</v>
      </c>
      <c r="E12" s="5"/>
      <c r="F12" s="5"/>
      <c r="G12" s="5"/>
    </row>
    <row r="13" spans="2:7" ht="32" x14ac:dyDescent="0.2">
      <c r="B13" s="68" t="s">
        <v>198</v>
      </c>
      <c r="C13" s="6"/>
      <c r="D13" s="6"/>
      <c r="E13" s="6"/>
      <c r="F13" s="6"/>
      <c r="G13" s="6">
        <f>(SUM(D15:D16))-(F14)</f>
        <v>175</v>
      </c>
    </row>
    <row r="14" spans="2:7" x14ac:dyDescent="0.2">
      <c r="B14" s="68"/>
      <c r="C14" s="6"/>
      <c r="D14" s="6"/>
      <c r="E14" s="6" t="s">
        <v>199</v>
      </c>
      <c r="F14" s="6">
        <v>100</v>
      </c>
      <c r="G14" s="6"/>
    </row>
    <row r="15" spans="2:7" x14ac:dyDescent="0.2">
      <c r="B15" s="68"/>
      <c r="C15" s="6" t="s">
        <v>396</v>
      </c>
      <c r="D15" s="6">
        <f>220</f>
        <v>220</v>
      </c>
      <c r="E15" s="6"/>
      <c r="F15" s="6"/>
      <c r="G15" s="6"/>
    </row>
    <row r="16" spans="2:7" x14ac:dyDescent="0.2">
      <c r="B16" s="68"/>
      <c r="C16" s="6" t="s">
        <v>200</v>
      </c>
      <c r="D16" s="6">
        <v>55</v>
      </c>
      <c r="E16" s="6"/>
      <c r="F16" s="6"/>
      <c r="G16" s="6"/>
    </row>
    <row r="17" spans="2:7" ht="16" x14ac:dyDescent="0.2">
      <c r="B17" s="21" t="s">
        <v>201</v>
      </c>
      <c r="C17" s="8" t="s">
        <v>202</v>
      </c>
      <c r="D17" s="8">
        <v>10</v>
      </c>
      <c r="E17" s="8"/>
      <c r="F17" s="8"/>
      <c r="G17" s="8">
        <f>D18+D17</f>
        <v>61</v>
      </c>
    </row>
    <row r="18" spans="2:7" x14ac:dyDescent="0.2">
      <c r="B18" s="21"/>
      <c r="C18" s="8" t="s">
        <v>430</v>
      </c>
      <c r="D18" s="8">
        <f>3*17</f>
        <v>51</v>
      </c>
      <c r="E18" s="8"/>
      <c r="F18" s="8"/>
      <c r="G18" s="8"/>
    </row>
    <row r="19" spans="2:7" ht="32" x14ac:dyDescent="0.2">
      <c r="B19" s="22" t="s">
        <v>397</v>
      </c>
      <c r="C19" s="7"/>
      <c r="D19" s="7"/>
      <c r="E19" s="7"/>
      <c r="F19" s="7"/>
      <c r="G19" s="7">
        <f>D20</f>
        <v>75</v>
      </c>
    </row>
    <row r="20" spans="2:7" x14ac:dyDescent="0.2">
      <c r="B20" s="67"/>
      <c r="C20" s="7" t="s">
        <v>203</v>
      </c>
      <c r="D20" s="7">
        <v>75</v>
      </c>
      <c r="E20" s="7"/>
      <c r="F20" s="7"/>
      <c r="G20" s="7"/>
    </row>
    <row r="21" spans="2:7" x14ac:dyDescent="0.2">
      <c r="B21" s="3" t="s">
        <v>6</v>
      </c>
      <c r="C21" s="2"/>
      <c r="D21" s="2"/>
      <c r="E21" s="2"/>
      <c r="F21" s="2"/>
      <c r="G21" s="4">
        <f>SUM(G7:G19)</f>
        <v>491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E2EF4-6D81-934E-8EDB-A5B432BD6480}">
  <dimension ref="B5:G15"/>
  <sheetViews>
    <sheetView topLeftCell="A6" zoomScale="156" workbookViewId="0">
      <selection activeCell="G15" sqref="G15"/>
    </sheetView>
  </sheetViews>
  <sheetFormatPr baseColWidth="10" defaultRowHeight="15" x14ac:dyDescent="0.2"/>
  <cols>
    <col min="2" max="2" width="17.1640625" customWidth="1"/>
    <col min="3" max="4" width="18.1640625" customWidth="1"/>
    <col min="6" max="6" width="13.6640625" customWidth="1"/>
  </cols>
  <sheetData>
    <row r="5" spans="2:7" ht="26" x14ac:dyDescent="0.3">
      <c r="B5" s="1" t="s">
        <v>304</v>
      </c>
      <c r="C5" s="2"/>
      <c r="E5" s="2"/>
      <c r="F5" s="2"/>
      <c r="G5" s="2"/>
    </row>
    <row r="6" spans="2:7" ht="27" x14ac:dyDescent="0.45">
      <c r="B6" s="49"/>
      <c r="C6" s="2"/>
      <c r="D6" s="50"/>
      <c r="E6" s="2"/>
      <c r="F6" s="2"/>
      <c r="G6" s="2"/>
    </row>
    <row r="7" spans="2:7" x14ac:dyDescent="0.2">
      <c r="B7" s="3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</row>
    <row r="8" spans="2:7" x14ac:dyDescent="0.2">
      <c r="B8" s="25" t="s">
        <v>301</v>
      </c>
      <c r="C8" s="5"/>
      <c r="D8" s="5"/>
      <c r="E8" s="5"/>
      <c r="F8" s="5"/>
      <c r="G8" s="5">
        <f>SUM(D9:D11)-F8</f>
        <v>330</v>
      </c>
    </row>
    <row r="9" spans="2:7" x14ac:dyDescent="0.2">
      <c r="B9" s="25" t="s">
        <v>302</v>
      </c>
      <c r="C9" s="5" t="s">
        <v>458</v>
      </c>
      <c r="D9" s="5">
        <f>12.5*20</f>
        <v>250</v>
      </c>
      <c r="E9" s="5"/>
      <c r="F9" s="5"/>
      <c r="G9" s="5"/>
    </row>
    <row r="10" spans="2:7" x14ac:dyDescent="0.2">
      <c r="B10" s="25"/>
      <c r="C10" s="5" t="s">
        <v>459</v>
      </c>
      <c r="D10" s="5">
        <f>4*20</f>
        <v>80</v>
      </c>
      <c r="E10" s="5"/>
      <c r="F10" s="5"/>
      <c r="G10" s="5"/>
    </row>
    <row r="11" spans="2:7" x14ac:dyDescent="0.2">
      <c r="B11" s="25"/>
      <c r="C11" s="5"/>
      <c r="D11" s="5"/>
      <c r="E11" s="5"/>
      <c r="F11" s="5"/>
      <c r="G11" s="5"/>
    </row>
    <row r="12" spans="2:7" x14ac:dyDescent="0.2">
      <c r="B12" s="26" t="s">
        <v>303</v>
      </c>
      <c r="C12" s="6"/>
      <c r="D12" s="6"/>
      <c r="E12" s="6"/>
      <c r="F12" s="6"/>
      <c r="G12" s="6">
        <f>100</f>
        <v>100</v>
      </c>
    </row>
    <row r="13" spans="2:7" x14ac:dyDescent="0.2">
      <c r="B13" s="26"/>
      <c r="C13" s="6" t="s">
        <v>460</v>
      </c>
      <c r="D13" s="6">
        <f>8*20</f>
        <v>160</v>
      </c>
      <c r="E13" s="6" t="s">
        <v>399</v>
      </c>
      <c r="F13" s="6">
        <f>3*20</f>
        <v>60</v>
      </c>
      <c r="G13" s="6"/>
    </row>
    <row r="14" spans="2:7" x14ac:dyDescent="0.2">
      <c r="B14" s="26"/>
      <c r="C14" s="6"/>
      <c r="D14" s="6"/>
      <c r="E14" s="6"/>
      <c r="F14" s="6"/>
      <c r="G14" s="6"/>
    </row>
    <row r="15" spans="2:7" x14ac:dyDescent="0.2">
      <c r="B15" s="3" t="s">
        <v>6</v>
      </c>
      <c r="C15" s="2"/>
      <c r="D15" s="2"/>
      <c r="E15" s="2"/>
      <c r="F15" s="2"/>
      <c r="G15" s="4">
        <f>SUM(G8:G14)</f>
        <v>430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EDC9-DF9F-2B41-8124-ACE0A5DCC5E0}">
  <dimension ref="B5:G22"/>
  <sheetViews>
    <sheetView topLeftCell="A2" zoomScale="137" workbookViewId="0">
      <selection activeCell="C10" sqref="C10"/>
    </sheetView>
  </sheetViews>
  <sheetFormatPr baseColWidth="10" defaultRowHeight="15" x14ac:dyDescent="0.2"/>
  <cols>
    <col min="2" max="2" width="25.5" customWidth="1"/>
    <col min="3" max="3" width="28.6640625" customWidth="1"/>
    <col min="5" max="5" width="7.5" customWidth="1"/>
    <col min="6" max="6" width="14.6640625" customWidth="1"/>
  </cols>
  <sheetData>
    <row r="5" spans="2:7" ht="26" x14ac:dyDescent="0.3">
      <c r="B5" s="56" t="s">
        <v>43</v>
      </c>
      <c r="C5" s="57"/>
      <c r="D5" s="53"/>
      <c r="E5" s="57"/>
      <c r="F5" s="57"/>
      <c r="G5" s="57"/>
    </row>
    <row r="6" spans="2:7" ht="16" x14ac:dyDescent="0.2">
      <c r="B6" s="57"/>
      <c r="C6" s="57"/>
      <c r="D6" s="57"/>
      <c r="E6" s="57"/>
      <c r="F6" s="57"/>
      <c r="G6" s="57"/>
    </row>
    <row r="7" spans="2:7" x14ac:dyDescent="0.2">
      <c r="B7" s="32" t="s">
        <v>0</v>
      </c>
      <c r="C7" s="58" t="s">
        <v>1</v>
      </c>
      <c r="D7" s="58" t="s">
        <v>2</v>
      </c>
      <c r="E7" s="58" t="s">
        <v>3</v>
      </c>
      <c r="F7" s="58" t="s">
        <v>4</v>
      </c>
      <c r="G7" s="58" t="s">
        <v>5</v>
      </c>
    </row>
    <row r="8" spans="2:7" x14ac:dyDescent="0.2">
      <c r="B8" s="156" t="s">
        <v>345</v>
      </c>
      <c r="C8" s="62"/>
      <c r="D8" s="157"/>
      <c r="E8" s="157"/>
      <c r="F8" s="157"/>
      <c r="G8" s="158">
        <f>SUM(D9:D10)</f>
        <v>57.5</v>
      </c>
    </row>
    <row r="9" spans="2:7" x14ac:dyDescent="0.2">
      <c r="B9" s="156" t="s">
        <v>346</v>
      </c>
      <c r="C9" s="62" t="s">
        <v>347</v>
      </c>
      <c r="D9" s="157">
        <v>37.5</v>
      </c>
      <c r="E9" s="157"/>
      <c r="F9" s="157"/>
      <c r="G9" s="158"/>
    </row>
    <row r="10" spans="2:7" x14ac:dyDescent="0.2">
      <c r="B10" s="156" t="s">
        <v>348</v>
      </c>
      <c r="C10" s="62" t="s">
        <v>349</v>
      </c>
      <c r="D10" s="157">
        <v>20</v>
      </c>
      <c r="E10" s="157"/>
      <c r="F10" s="157"/>
      <c r="G10" s="158"/>
    </row>
    <row r="11" spans="2:7" x14ac:dyDescent="0.2">
      <c r="B11" s="156"/>
      <c r="C11" s="62"/>
      <c r="D11" s="157"/>
      <c r="E11" s="157"/>
      <c r="F11" s="157"/>
      <c r="G11" s="158"/>
    </row>
    <row r="12" spans="2:7" x14ac:dyDescent="0.2">
      <c r="B12" s="63" t="s">
        <v>350</v>
      </c>
      <c r="C12" s="61"/>
      <c r="D12" s="159"/>
      <c r="E12" s="159"/>
      <c r="F12" s="159"/>
      <c r="G12" s="160">
        <f>SUM(D13:D16)</f>
        <v>90</v>
      </c>
    </row>
    <row r="13" spans="2:7" x14ac:dyDescent="0.2">
      <c r="B13" s="63" t="s">
        <v>351</v>
      </c>
      <c r="C13" s="61" t="s">
        <v>352</v>
      </c>
      <c r="D13" s="160">
        <f>30</f>
        <v>30</v>
      </c>
      <c r="E13" s="159"/>
      <c r="F13" s="159"/>
      <c r="G13" s="159"/>
    </row>
    <row r="14" spans="2:7" x14ac:dyDescent="0.2">
      <c r="B14" s="63"/>
      <c r="C14" s="61" t="s">
        <v>353</v>
      </c>
      <c r="D14" s="160">
        <v>30</v>
      </c>
      <c r="E14" s="159"/>
      <c r="F14" s="159"/>
      <c r="G14" s="159"/>
    </row>
    <row r="15" spans="2:7" x14ac:dyDescent="0.2">
      <c r="B15" s="63"/>
      <c r="C15" s="61" t="s">
        <v>461</v>
      </c>
      <c r="D15" s="160">
        <v>30</v>
      </c>
      <c r="E15" s="159"/>
      <c r="F15" s="159"/>
      <c r="G15" s="159"/>
    </row>
    <row r="16" spans="2:7" x14ac:dyDescent="0.2">
      <c r="B16" s="63"/>
      <c r="C16" s="61"/>
      <c r="D16" s="160"/>
      <c r="E16" s="159"/>
      <c r="F16" s="159"/>
      <c r="G16" s="159"/>
    </row>
    <row r="17" spans="2:7" x14ac:dyDescent="0.2">
      <c r="B17" s="156" t="s">
        <v>354</v>
      </c>
      <c r="C17" s="62" t="s">
        <v>355</v>
      </c>
      <c r="D17" s="158">
        <v>50</v>
      </c>
      <c r="E17" s="157"/>
      <c r="F17" s="157"/>
      <c r="G17" s="158">
        <v>50</v>
      </c>
    </row>
    <row r="18" spans="2:7" x14ac:dyDescent="0.2">
      <c r="B18" s="156" t="s">
        <v>356</v>
      </c>
      <c r="C18" s="62"/>
      <c r="D18" s="157"/>
      <c r="E18" s="157"/>
      <c r="F18" s="157"/>
      <c r="G18" s="157"/>
    </row>
    <row r="19" spans="2:7" x14ac:dyDescent="0.2">
      <c r="B19" s="63" t="s">
        <v>357</v>
      </c>
      <c r="C19" s="64"/>
      <c r="D19" s="159"/>
      <c r="E19" s="159"/>
      <c r="F19" s="159"/>
      <c r="G19" s="160">
        <v>180</v>
      </c>
    </row>
    <row r="20" spans="2:7" x14ac:dyDescent="0.2">
      <c r="B20" s="63" t="s">
        <v>359</v>
      </c>
      <c r="C20" s="60"/>
      <c r="D20" s="160"/>
      <c r="E20" s="159"/>
      <c r="F20" s="159"/>
      <c r="G20" s="159"/>
    </row>
    <row r="21" spans="2:7" ht="32" x14ac:dyDescent="0.2">
      <c r="B21" s="63"/>
      <c r="C21" s="64" t="s">
        <v>358</v>
      </c>
      <c r="D21" s="160">
        <v>180</v>
      </c>
      <c r="E21" s="161"/>
      <c r="F21" s="161"/>
      <c r="G21" s="162"/>
    </row>
    <row r="22" spans="2:7" ht="16" x14ac:dyDescent="0.2">
      <c r="B22" s="32" t="s">
        <v>6</v>
      </c>
      <c r="C22" s="59"/>
      <c r="D22" s="163"/>
      <c r="E22" s="163"/>
      <c r="F22" s="163"/>
      <c r="G22" s="164">
        <f>SUM(G8:G20)</f>
        <v>377.5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7618C-F21E-5040-9622-98A750B77039}">
  <dimension ref="B4:G16"/>
  <sheetViews>
    <sheetView zoomScale="134" workbookViewId="0">
      <selection activeCell="G16" sqref="G16"/>
    </sheetView>
  </sheetViews>
  <sheetFormatPr baseColWidth="10" defaultRowHeight="15" x14ac:dyDescent="0.2"/>
  <cols>
    <col min="2" max="2" width="17" customWidth="1"/>
    <col min="3" max="3" width="28.33203125" customWidth="1"/>
  </cols>
  <sheetData>
    <row r="4" spans="2:7" ht="26" x14ac:dyDescent="0.3">
      <c r="B4" s="12" t="s">
        <v>44</v>
      </c>
      <c r="C4" s="12"/>
      <c r="D4" s="14"/>
      <c r="E4" s="14"/>
      <c r="F4" s="14"/>
      <c r="G4" s="14"/>
    </row>
    <row r="6" spans="2:7" x14ac:dyDescent="0.2">
      <c r="B6" s="3" t="s">
        <v>0</v>
      </c>
      <c r="C6" s="4" t="s">
        <v>1</v>
      </c>
      <c r="D6" s="4" t="s">
        <v>2</v>
      </c>
      <c r="E6" s="4"/>
      <c r="F6" s="4"/>
      <c r="G6" s="4" t="s">
        <v>5</v>
      </c>
    </row>
    <row r="7" spans="2:7" x14ac:dyDescent="0.2">
      <c r="B7" s="20" t="s">
        <v>143</v>
      </c>
      <c r="C7" s="5"/>
      <c r="D7" s="5"/>
      <c r="E7" s="5"/>
      <c r="F7" s="5"/>
      <c r="G7" s="5">
        <f>SUM(D8:D10)-F7</f>
        <v>290</v>
      </c>
    </row>
    <row r="8" spans="2:7" x14ac:dyDescent="0.2">
      <c r="B8" s="20"/>
      <c r="C8" s="5" t="s">
        <v>453</v>
      </c>
      <c r="D8" s="5">
        <v>260</v>
      </c>
      <c r="E8" s="5"/>
      <c r="F8" s="5"/>
      <c r="G8" s="5"/>
    </row>
    <row r="9" spans="2:7" x14ac:dyDescent="0.2">
      <c r="B9" s="20"/>
      <c r="C9" s="5" t="s">
        <v>395</v>
      </c>
      <c r="D9" s="5">
        <v>15</v>
      </c>
      <c r="E9" s="5"/>
      <c r="F9" s="5"/>
      <c r="G9" s="5"/>
    </row>
    <row r="10" spans="2:7" x14ac:dyDescent="0.2">
      <c r="B10" s="20"/>
      <c r="C10" s="5" t="s">
        <v>425</v>
      </c>
      <c r="D10" s="5">
        <v>15</v>
      </c>
      <c r="E10" s="5"/>
      <c r="F10" s="5"/>
      <c r="G10" s="5"/>
    </row>
    <row r="11" spans="2:7" x14ac:dyDescent="0.2">
      <c r="B11" s="19" t="s">
        <v>144</v>
      </c>
      <c r="C11" s="6"/>
      <c r="D11" s="6"/>
      <c r="E11" s="6"/>
      <c r="F11" s="6"/>
      <c r="G11" s="6">
        <f>SUM(D12:D13)</f>
        <v>50</v>
      </c>
    </row>
    <row r="12" spans="2:7" x14ac:dyDescent="0.2">
      <c r="B12" s="19"/>
      <c r="C12" s="6" t="s">
        <v>145</v>
      </c>
      <c r="D12" s="6">
        <f>40</f>
        <v>40</v>
      </c>
      <c r="E12" s="6"/>
      <c r="F12" s="6"/>
      <c r="G12" s="6"/>
    </row>
    <row r="13" spans="2:7" x14ac:dyDescent="0.2">
      <c r="B13" s="19"/>
      <c r="C13" s="6" t="s">
        <v>146</v>
      </c>
      <c r="D13" s="6">
        <v>10</v>
      </c>
      <c r="E13" s="6"/>
      <c r="F13" s="6"/>
      <c r="G13" s="6"/>
    </row>
    <row r="14" spans="2:7" ht="48" x14ac:dyDescent="0.2">
      <c r="B14" s="21" t="s">
        <v>147</v>
      </c>
      <c r="C14" s="8" t="s">
        <v>426</v>
      </c>
      <c r="D14" s="8">
        <v>15</v>
      </c>
      <c r="E14" s="8"/>
      <c r="F14" s="8"/>
      <c r="G14" s="8">
        <f>SUM(D14:D15)</f>
        <v>30</v>
      </c>
    </row>
    <row r="15" spans="2:7" x14ac:dyDescent="0.2">
      <c r="B15" s="29"/>
      <c r="C15" s="8" t="s">
        <v>427</v>
      </c>
      <c r="D15" s="8">
        <f>15</f>
        <v>15</v>
      </c>
      <c r="E15" s="8"/>
      <c r="F15" s="8"/>
      <c r="G15" s="8"/>
    </row>
    <row r="16" spans="2:7" x14ac:dyDescent="0.2">
      <c r="B16" s="3" t="s">
        <v>6</v>
      </c>
      <c r="C16" s="2"/>
      <c r="D16" s="2"/>
      <c r="E16" s="2"/>
      <c r="F16" s="2"/>
      <c r="G16" s="4">
        <f>SUM(G7:G15)</f>
        <v>370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828ED-8236-A340-9B67-81251B57F5E9}">
  <dimension ref="B3:G13"/>
  <sheetViews>
    <sheetView zoomScale="150" workbookViewId="0">
      <selection activeCell="B9" sqref="B9"/>
    </sheetView>
  </sheetViews>
  <sheetFormatPr baseColWidth="10" defaultRowHeight="15" x14ac:dyDescent="0.2"/>
  <cols>
    <col min="2" max="2" width="17" customWidth="1"/>
    <col min="3" max="3" width="24.6640625" customWidth="1"/>
    <col min="4" max="4" width="16" customWidth="1"/>
    <col min="6" max="6" width="12.83203125" customWidth="1"/>
  </cols>
  <sheetData>
    <row r="3" spans="2:7" ht="26" x14ac:dyDescent="0.3">
      <c r="B3" s="1" t="s">
        <v>292</v>
      </c>
      <c r="C3" s="2"/>
      <c r="E3" s="2"/>
      <c r="F3" s="2"/>
      <c r="G3" s="2"/>
    </row>
    <row r="4" spans="2:7" ht="27" x14ac:dyDescent="0.45">
      <c r="B4" s="49"/>
      <c r="C4" s="2"/>
      <c r="D4" s="50"/>
      <c r="E4" s="2"/>
      <c r="F4" s="2"/>
      <c r="G4" s="2"/>
    </row>
    <row r="5" spans="2:7" x14ac:dyDescent="0.2">
      <c r="B5" s="3" t="s">
        <v>0</v>
      </c>
      <c r="C5" s="4" t="s">
        <v>1</v>
      </c>
      <c r="D5" s="4" t="s">
        <v>2</v>
      </c>
      <c r="E5" s="4" t="s">
        <v>3</v>
      </c>
      <c r="F5" s="4" t="s">
        <v>4</v>
      </c>
      <c r="G5" s="4" t="s">
        <v>5</v>
      </c>
    </row>
    <row r="6" spans="2:7" x14ac:dyDescent="0.2">
      <c r="B6" s="20" t="s">
        <v>293</v>
      </c>
      <c r="C6" s="5" t="s">
        <v>294</v>
      </c>
      <c r="D6" s="5" t="s">
        <v>295</v>
      </c>
      <c r="E6" s="5"/>
      <c r="F6" s="5"/>
      <c r="G6" s="5">
        <f>SUM(D7:D9)-F6</f>
        <v>150</v>
      </c>
    </row>
    <row r="7" spans="2:7" x14ac:dyDescent="0.2">
      <c r="B7" s="20" t="s">
        <v>296</v>
      </c>
      <c r="C7" s="5" t="s">
        <v>297</v>
      </c>
      <c r="D7" s="5"/>
      <c r="E7" s="5"/>
      <c r="F7" s="5"/>
      <c r="G7" s="5"/>
    </row>
    <row r="8" spans="2:7" x14ac:dyDescent="0.2">
      <c r="B8" s="20"/>
      <c r="C8" s="5" t="s">
        <v>451</v>
      </c>
      <c r="D8" s="5"/>
      <c r="E8" s="5"/>
      <c r="F8" s="5"/>
      <c r="G8" s="5"/>
    </row>
    <row r="9" spans="2:7" x14ac:dyDescent="0.2">
      <c r="B9" s="20"/>
      <c r="C9" s="5"/>
      <c r="D9" s="5">
        <v>150</v>
      </c>
      <c r="E9" s="5"/>
      <c r="F9" s="5"/>
      <c r="G9" s="5"/>
    </row>
    <row r="10" spans="2:7" x14ac:dyDescent="0.2">
      <c r="B10" s="19" t="s">
        <v>298</v>
      </c>
      <c r="C10" s="6" t="s">
        <v>299</v>
      </c>
      <c r="D10" s="6" t="s">
        <v>300</v>
      </c>
      <c r="E10" s="6"/>
      <c r="F10" s="6"/>
      <c r="G10" s="6">
        <f>SUM(D11:D12)</f>
        <v>161.79</v>
      </c>
    </row>
    <row r="11" spans="2:7" x14ac:dyDescent="0.2">
      <c r="B11" s="19"/>
      <c r="C11" s="6" t="s">
        <v>451</v>
      </c>
      <c r="D11" s="6"/>
      <c r="E11" s="6"/>
      <c r="F11" s="6"/>
      <c r="G11" s="6"/>
    </row>
    <row r="12" spans="2:7" x14ac:dyDescent="0.2">
      <c r="B12" s="26"/>
      <c r="C12" s="6"/>
      <c r="D12" s="6">
        <v>161.79</v>
      </c>
      <c r="E12" s="6"/>
      <c r="F12" s="6"/>
      <c r="G12" s="6"/>
    </row>
    <row r="13" spans="2:7" x14ac:dyDescent="0.2">
      <c r="B13" s="3" t="s">
        <v>6</v>
      </c>
      <c r="C13" s="2"/>
      <c r="D13" s="2"/>
      <c r="E13" s="2"/>
      <c r="F13" s="2"/>
      <c r="G13" s="4">
        <f>SUM(G6:G12)</f>
        <v>311.78999999999996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7B3E-13FC-1346-871C-5492A2B0D8C4}">
  <dimension ref="B4:G17"/>
  <sheetViews>
    <sheetView workbookViewId="0">
      <selection activeCell="G16" sqref="G16"/>
    </sheetView>
  </sheetViews>
  <sheetFormatPr baseColWidth="10" defaultRowHeight="15" x14ac:dyDescent="0.2"/>
  <cols>
    <col min="2" max="2" width="20.1640625" customWidth="1"/>
    <col min="3" max="3" width="30.1640625" customWidth="1"/>
    <col min="4" max="4" width="15.1640625" customWidth="1"/>
    <col min="6" max="6" width="14.1640625" customWidth="1"/>
  </cols>
  <sheetData>
    <row r="4" spans="2:7" ht="26" x14ac:dyDescent="0.3">
      <c r="B4" s="1" t="s">
        <v>323</v>
      </c>
      <c r="C4" s="2"/>
      <c r="D4" s="2"/>
      <c r="E4" s="2"/>
    </row>
    <row r="5" spans="2:7" x14ac:dyDescent="0.2">
      <c r="B5" s="3"/>
      <c r="C5" s="2"/>
      <c r="D5" s="2"/>
      <c r="E5" s="2"/>
    </row>
    <row r="6" spans="2:7" x14ac:dyDescent="0.2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2:7" x14ac:dyDescent="0.2">
      <c r="B7" s="20" t="s">
        <v>318</v>
      </c>
      <c r="C7" s="5"/>
      <c r="D7" s="5"/>
      <c r="E7" s="5">
        <v>0</v>
      </c>
      <c r="F7" s="5">
        <v>0</v>
      </c>
      <c r="G7" s="5">
        <v>60</v>
      </c>
    </row>
    <row r="8" spans="2:7" ht="48" x14ac:dyDescent="0.2">
      <c r="B8" s="20"/>
      <c r="C8" s="17" t="s">
        <v>424</v>
      </c>
      <c r="D8" s="5">
        <v>60</v>
      </c>
      <c r="E8" s="5"/>
      <c r="F8" s="5"/>
      <c r="G8" s="5"/>
    </row>
    <row r="9" spans="2:7" x14ac:dyDescent="0.2">
      <c r="B9" s="20"/>
      <c r="C9" s="5" t="s">
        <v>452</v>
      </c>
      <c r="D9" s="5"/>
      <c r="E9" s="5"/>
      <c r="F9" s="5"/>
      <c r="G9" s="5"/>
    </row>
    <row r="10" spans="2:7" x14ac:dyDescent="0.2">
      <c r="B10" s="20"/>
      <c r="C10" s="5"/>
      <c r="D10" s="5"/>
      <c r="E10" s="5"/>
      <c r="F10" s="5"/>
      <c r="G10" s="5"/>
    </row>
    <row r="11" spans="2:7" x14ac:dyDescent="0.2">
      <c r="B11" s="19" t="s">
        <v>319</v>
      </c>
      <c r="C11" s="6"/>
      <c r="D11" s="6"/>
      <c r="E11" s="6"/>
      <c r="F11" s="6"/>
      <c r="G11" s="6">
        <f>SUM(D12:D12)</f>
        <v>60</v>
      </c>
    </row>
    <row r="12" spans="2:7" x14ac:dyDescent="0.2">
      <c r="B12" s="19"/>
      <c r="C12" s="6" t="s">
        <v>320</v>
      </c>
      <c r="D12" s="6">
        <f>60</f>
        <v>60</v>
      </c>
      <c r="E12" s="6"/>
      <c r="F12" s="6"/>
      <c r="G12" s="6"/>
    </row>
    <row r="13" spans="2:7" ht="16" x14ac:dyDescent="0.2">
      <c r="B13" s="21" t="s">
        <v>321</v>
      </c>
      <c r="C13" s="8" t="s">
        <v>320</v>
      </c>
      <c r="D13" s="8">
        <v>60</v>
      </c>
      <c r="E13" s="8"/>
      <c r="F13" s="8"/>
      <c r="G13" s="8">
        <f>D13</f>
        <v>60</v>
      </c>
    </row>
    <row r="14" spans="2:7" x14ac:dyDescent="0.2">
      <c r="B14" s="67" t="s">
        <v>322</v>
      </c>
      <c r="C14" s="7" t="s">
        <v>320</v>
      </c>
      <c r="D14" s="7">
        <v>60</v>
      </c>
      <c r="E14" s="7"/>
      <c r="F14" s="7"/>
      <c r="G14" s="7">
        <f>D14</f>
        <v>60</v>
      </c>
    </row>
    <row r="15" spans="2:7" x14ac:dyDescent="0.2">
      <c r="B15" s="86" t="s">
        <v>463</v>
      </c>
      <c r="C15" s="8" t="s">
        <v>320</v>
      </c>
      <c r="D15" s="8">
        <v>60</v>
      </c>
      <c r="E15" s="8"/>
      <c r="F15" s="8"/>
      <c r="G15" s="8">
        <f>D15</f>
        <v>60</v>
      </c>
    </row>
    <row r="16" spans="2:7" x14ac:dyDescent="0.2">
      <c r="B16" s="3" t="s">
        <v>6</v>
      </c>
      <c r="C16" s="2"/>
      <c r="D16" s="2"/>
      <c r="E16" s="2"/>
      <c r="F16" s="2"/>
      <c r="G16" s="4">
        <f>SUM(G7:G15)</f>
        <v>300</v>
      </c>
    </row>
    <row r="17" spans="2:2" x14ac:dyDescent="0.2">
      <c r="B17" s="3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18D16-9194-2F42-8C81-6753A1833BBE}">
  <dimension ref="B4:E16"/>
  <sheetViews>
    <sheetView topLeftCell="A2" zoomScale="156" workbookViewId="0">
      <selection activeCell="E17" sqref="E17"/>
    </sheetView>
  </sheetViews>
  <sheetFormatPr baseColWidth="10" defaultRowHeight="15" x14ac:dyDescent="0.2"/>
  <cols>
    <col min="2" max="2" width="28" customWidth="1"/>
    <col min="3" max="3" width="15.33203125" customWidth="1"/>
  </cols>
  <sheetData>
    <row r="4" spans="2:5" ht="26" x14ac:dyDescent="0.3">
      <c r="B4" s="1" t="s">
        <v>42</v>
      </c>
      <c r="C4" s="2"/>
      <c r="D4" s="2"/>
      <c r="E4" s="2"/>
    </row>
    <row r="5" spans="2:5" x14ac:dyDescent="0.2">
      <c r="C5" s="2"/>
      <c r="D5" s="2"/>
      <c r="E5" s="2"/>
    </row>
    <row r="6" spans="2:5" x14ac:dyDescent="0.2">
      <c r="B6" s="3" t="s">
        <v>0</v>
      </c>
      <c r="C6" s="4" t="s">
        <v>1</v>
      </c>
      <c r="D6" s="4" t="s">
        <v>2</v>
      </c>
      <c r="E6" s="4" t="s">
        <v>5</v>
      </c>
    </row>
    <row r="7" spans="2:5" ht="32" x14ac:dyDescent="0.2">
      <c r="B7" s="69" t="s">
        <v>462</v>
      </c>
      <c r="C7" s="5" t="s">
        <v>225</v>
      </c>
      <c r="D7" s="5">
        <v>50</v>
      </c>
      <c r="E7" s="112"/>
    </row>
    <row r="8" spans="2:5" x14ac:dyDescent="0.2">
      <c r="B8" s="69"/>
      <c r="C8" s="5" t="s">
        <v>226</v>
      </c>
      <c r="D8" s="5">
        <v>12.5</v>
      </c>
      <c r="E8" s="113">
        <f>SUM(D7:D8)</f>
        <v>62.5</v>
      </c>
    </row>
    <row r="9" spans="2:5" ht="16" x14ac:dyDescent="0.2">
      <c r="B9" s="114" t="s">
        <v>431</v>
      </c>
      <c r="C9" s="6" t="s">
        <v>445</v>
      </c>
      <c r="D9" s="6">
        <f>3*12.5</f>
        <v>37.5</v>
      </c>
      <c r="E9" s="115">
        <f>D9</f>
        <v>37.5</v>
      </c>
    </row>
    <row r="10" spans="2:5" ht="16" x14ac:dyDescent="0.2">
      <c r="B10" s="116" t="s">
        <v>400</v>
      </c>
      <c r="C10" s="113" t="s">
        <v>226</v>
      </c>
      <c r="D10" s="113">
        <f>12.5</f>
        <v>12.5</v>
      </c>
      <c r="E10" s="112"/>
    </row>
    <row r="11" spans="2:5" x14ac:dyDescent="0.2">
      <c r="B11" s="116"/>
      <c r="C11" s="113" t="s">
        <v>227</v>
      </c>
      <c r="D11" s="113">
        <v>10</v>
      </c>
      <c r="E11" s="113">
        <f>SUM(D10:D11)</f>
        <v>22.5</v>
      </c>
    </row>
    <row r="12" spans="2:5" ht="16" x14ac:dyDescent="0.2">
      <c r="B12" s="117" t="s">
        <v>228</v>
      </c>
      <c r="C12" s="118" t="s">
        <v>226</v>
      </c>
      <c r="D12" s="119">
        <v>12.5</v>
      </c>
      <c r="E12" s="118"/>
    </row>
    <row r="13" spans="2:5" x14ac:dyDescent="0.2">
      <c r="B13" s="117"/>
      <c r="C13" s="118" t="s">
        <v>229</v>
      </c>
      <c r="D13" s="119">
        <v>80</v>
      </c>
      <c r="E13" s="119">
        <v>92.5</v>
      </c>
    </row>
    <row r="14" spans="2:5" ht="16" x14ac:dyDescent="0.2">
      <c r="B14" s="120" t="s">
        <v>447</v>
      </c>
      <c r="C14" s="121" t="s">
        <v>226</v>
      </c>
      <c r="D14" s="122">
        <v>12.5</v>
      </c>
      <c r="E14" s="121"/>
    </row>
    <row r="15" spans="2:5" x14ac:dyDescent="0.2">
      <c r="B15" s="121"/>
      <c r="C15" s="121" t="s">
        <v>225</v>
      </c>
      <c r="D15" s="122">
        <v>70</v>
      </c>
      <c r="E15" s="122">
        <v>82.5</v>
      </c>
    </row>
    <row r="16" spans="2:5" x14ac:dyDescent="0.2">
      <c r="B16" s="123" t="s">
        <v>401</v>
      </c>
      <c r="E16" s="4">
        <f>SUM(E7:E15)</f>
        <v>297.5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77878-0449-404B-9554-06B9C59AAE9F}">
  <dimension ref="B5:G19"/>
  <sheetViews>
    <sheetView topLeftCell="A6" zoomScale="150" workbookViewId="0">
      <selection activeCell="H12" sqref="H12:H19"/>
    </sheetView>
  </sheetViews>
  <sheetFormatPr baseColWidth="10" defaultRowHeight="15" x14ac:dyDescent="0.2"/>
  <cols>
    <col min="2" max="2" width="20.6640625" customWidth="1"/>
    <col min="3" max="3" width="18.1640625" customWidth="1"/>
    <col min="4" max="4" width="14.6640625" customWidth="1"/>
    <col min="6" max="6" width="14" customWidth="1"/>
  </cols>
  <sheetData>
    <row r="5" spans="2:7" ht="26" x14ac:dyDescent="0.3">
      <c r="B5" s="12" t="s">
        <v>50</v>
      </c>
      <c r="C5" s="15"/>
      <c r="D5" s="15"/>
      <c r="E5" s="15"/>
      <c r="F5" s="15"/>
      <c r="G5" s="15"/>
    </row>
    <row r="6" spans="2:7" x14ac:dyDescent="0.2">
      <c r="B6" s="13"/>
      <c r="C6" s="15"/>
      <c r="D6" s="15"/>
      <c r="E6" s="15"/>
      <c r="F6" s="15"/>
      <c r="G6" s="15"/>
    </row>
    <row r="7" spans="2:7" x14ac:dyDescent="0.2">
      <c r="B7" s="3" t="s">
        <v>0</v>
      </c>
      <c r="C7" s="100" t="s">
        <v>1</v>
      </c>
      <c r="D7" s="100" t="s">
        <v>2</v>
      </c>
      <c r="E7" s="100" t="s">
        <v>3</v>
      </c>
      <c r="F7" s="100" t="s">
        <v>4</v>
      </c>
      <c r="G7" s="100" t="s">
        <v>5</v>
      </c>
    </row>
    <row r="8" spans="2:7" ht="48" x14ac:dyDescent="0.2">
      <c r="B8" s="106" t="s">
        <v>117</v>
      </c>
      <c r="C8" s="103" t="s">
        <v>118</v>
      </c>
      <c r="D8" s="103">
        <v>20</v>
      </c>
      <c r="E8" s="103"/>
      <c r="F8" s="103"/>
      <c r="G8" s="103">
        <f>SUM(D8:D11)</f>
        <v>127</v>
      </c>
    </row>
    <row r="9" spans="2:7" x14ac:dyDescent="0.2">
      <c r="B9" s="106"/>
      <c r="C9" s="103" t="s">
        <v>444</v>
      </c>
      <c r="D9" s="103">
        <f>8*9</f>
        <v>72</v>
      </c>
      <c r="E9" s="103"/>
      <c r="F9" s="103"/>
      <c r="G9" s="103"/>
    </row>
    <row r="10" spans="2:7" x14ac:dyDescent="0.2">
      <c r="B10" s="106"/>
      <c r="C10" s="103" t="s">
        <v>469</v>
      </c>
      <c r="D10" s="103">
        <f>2*10</f>
        <v>20</v>
      </c>
      <c r="E10" s="103"/>
      <c r="F10" s="103"/>
      <c r="G10" s="103"/>
    </row>
    <row r="11" spans="2:7" x14ac:dyDescent="0.2">
      <c r="B11" s="106"/>
      <c r="C11" s="103" t="s">
        <v>97</v>
      </c>
      <c r="D11" s="103">
        <v>15</v>
      </c>
      <c r="E11" s="103"/>
      <c r="F11" s="103"/>
      <c r="G11" s="103"/>
    </row>
    <row r="12" spans="2:7" ht="48" x14ac:dyDescent="0.2">
      <c r="B12" s="107" t="s">
        <v>119</v>
      </c>
      <c r="C12" s="104"/>
      <c r="D12" s="104"/>
      <c r="E12" s="104"/>
      <c r="F12" s="104"/>
      <c r="G12" s="104">
        <f>SUM(D13:D14)</f>
        <v>62.5</v>
      </c>
    </row>
    <row r="13" spans="2:7" x14ac:dyDescent="0.2">
      <c r="B13" s="107"/>
      <c r="C13" s="104" t="s">
        <v>118</v>
      </c>
      <c r="D13" s="104">
        <v>50</v>
      </c>
      <c r="E13" s="104"/>
      <c r="F13" s="104"/>
      <c r="G13" s="104"/>
    </row>
    <row r="14" spans="2:7" x14ac:dyDescent="0.2">
      <c r="B14" s="107"/>
      <c r="C14" s="104" t="s">
        <v>120</v>
      </c>
      <c r="D14" s="104">
        <v>12.5</v>
      </c>
      <c r="E14" s="104"/>
      <c r="F14" s="104"/>
      <c r="G14" s="104"/>
    </row>
    <row r="15" spans="2:7" ht="32" x14ac:dyDescent="0.2">
      <c r="B15" s="108" t="s">
        <v>121</v>
      </c>
      <c r="C15" s="101"/>
      <c r="D15" s="101"/>
      <c r="E15" s="101"/>
      <c r="F15" s="101"/>
      <c r="G15" s="101">
        <f>SUM(D15:D17)-F16</f>
        <v>48.5</v>
      </c>
    </row>
    <row r="16" spans="2:7" x14ac:dyDescent="0.2">
      <c r="B16" s="108"/>
      <c r="C16" s="101" t="s">
        <v>122</v>
      </c>
      <c r="D16" s="101">
        <f>60</f>
        <v>60</v>
      </c>
      <c r="E16" s="101">
        <v>2</v>
      </c>
      <c r="F16" s="101">
        <f>2*12</f>
        <v>24</v>
      </c>
      <c r="G16" s="101"/>
    </row>
    <row r="17" spans="2:7" x14ac:dyDescent="0.2">
      <c r="B17" s="108"/>
      <c r="C17" s="101" t="s">
        <v>120</v>
      </c>
      <c r="D17" s="101">
        <v>12.5</v>
      </c>
      <c r="E17" s="101"/>
      <c r="F17" s="101"/>
      <c r="G17" s="101"/>
    </row>
    <row r="18" spans="2:7" ht="16" x14ac:dyDescent="0.2">
      <c r="B18" s="109" t="s">
        <v>123</v>
      </c>
      <c r="C18" s="102" t="s">
        <v>118</v>
      </c>
      <c r="D18" s="102">
        <v>30</v>
      </c>
      <c r="E18" s="102"/>
      <c r="F18" s="102"/>
      <c r="G18" s="102">
        <v>30</v>
      </c>
    </row>
    <row r="19" spans="2:7" x14ac:dyDescent="0.2">
      <c r="B19" s="3" t="s">
        <v>6</v>
      </c>
      <c r="C19" s="105"/>
      <c r="D19" s="105"/>
      <c r="E19" s="105"/>
      <c r="F19" s="105"/>
      <c r="G19" s="100">
        <f>SUM(G8:G18)</f>
        <v>268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4F538-15F2-DF41-80CC-577269BAD319}">
  <dimension ref="B3:G32"/>
  <sheetViews>
    <sheetView topLeftCell="A2" zoomScale="111" workbookViewId="0">
      <selection activeCell="H24" sqref="H24"/>
    </sheetView>
  </sheetViews>
  <sheetFormatPr baseColWidth="10" defaultRowHeight="15" x14ac:dyDescent="0.2"/>
  <cols>
    <col min="2" max="2" width="26.1640625" customWidth="1"/>
    <col min="3" max="3" width="18.1640625" customWidth="1"/>
    <col min="5" max="5" width="9" customWidth="1"/>
    <col min="6" max="6" width="13.6640625" customWidth="1"/>
  </cols>
  <sheetData>
    <row r="3" spans="2:7" ht="26" x14ac:dyDescent="0.3">
      <c r="B3" s="12" t="s">
        <v>360</v>
      </c>
      <c r="C3" s="179"/>
      <c r="E3" s="179"/>
      <c r="F3" s="179"/>
      <c r="G3" s="179"/>
    </row>
    <row r="4" spans="2:7" ht="24" x14ac:dyDescent="0.3">
      <c r="B4" s="180"/>
      <c r="C4" s="179"/>
      <c r="D4" s="181"/>
      <c r="E4" s="179"/>
      <c r="F4" s="179"/>
      <c r="G4" s="179"/>
    </row>
    <row r="5" spans="2:7" x14ac:dyDescent="0.2">
      <c r="B5" s="83" t="s">
        <v>0</v>
      </c>
      <c r="C5" s="182" t="s">
        <v>1</v>
      </c>
      <c r="D5" s="182" t="s">
        <v>2</v>
      </c>
      <c r="E5" s="182" t="s">
        <v>3</v>
      </c>
      <c r="F5" s="182" t="s">
        <v>4</v>
      </c>
      <c r="G5" s="182" t="s">
        <v>5</v>
      </c>
    </row>
    <row r="6" spans="2:7" x14ac:dyDescent="0.2">
      <c r="B6" s="153" t="s">
        <v>361</v>
      </c>
      <c r="C6" s="183"/>
      <c r="D6" s="183"/>
      <c r="E6" s="183"/>
      <c r="F6" s="183"/>
      <c r="G6" s="183">
        <f>SUM(D7:D8)</f>
        <v>32.5</v>
      </c>
    </row>
    <row r="7" spans="2:7" x14ac:dyDescent="0.2">
      <c r="B7" s="153"/>
      <c r="C7" s="183" t="s">
        <v>362</v>
      </c>
      <c r="D7" s="183">
        <f>20</f>
        <v>20</v>
      </c>
      <c r="E7" s="183"/>
      <c r="F7" s="183"/>
      <c r="G7" s="183"/>
    </row>
    <row r="8" spans="2:7" x14ac:dyDescent="0.2">
      <c r="B8" s="153"/>
      <c r="C8" s="183" t="s">
        <v>97</v>
      </c>
      <c r="D8" s="183">
        <v>12.5</v>
      </c>
      <c r="E8" s="183"/>
      <c r="F8" s="183"/>
      <c r="G8" s="183"/>
    </row>
    <row r="9" spans="2:7" x14ac:dyDescent="0.2">
      <c r="B9" s="154" t="s">
        <v>363</v>
      </c>
      <c r="C9" s="184" t="s">
        <v>97</v>
      </c>
      <c r="D9" s="184">
        <v>12.5</v>
      </c>
      <c r="E9" s="184"/>
      <c r="F9" s="184"/>
      <c r="G9" s="184">
        <f>D9</f>
        <v>12.5</v>
      </c>
    </row>
    <row r="10" spans="2:7" ht="16" x14ac:dyDescent="0.2">
      <c r="B10" s="155" t="s">
        <v>364</v>
      </c>
      <c r="C10" s="183" t="s">
        <v>97</v>
      </c>
      <c r="D10" s="183">
        <v>12.5</v>
      </c>
      <c r="E10" s="183"/>
      <c r="F10" s="183"/>
      <c r="G10" s="183">
        <f>D10</f>
        <v>12.5</v>
      </c>
    </row>
    <row r="11" spans="2:7" x14ac:dyDescent="0.2">
      <c r="B11" s="154" t="s">
        <v>365</v>
      </c>
      <c r="C11" s="184"/>
      <c r="D11" s="184"/>
      <c r="E11" s="184"/>
      <c r="F11" s="184"/>
      <c r="G11" s="184">
        <f>SUM(D12:D13)</f>
        <v>22.5</v>
      </c>
    </row>
    <row r="12" spans="2:7" x14ac:dyDescent="0.2">
      <c r="B12" s="154"/>
      <c r="C12" s="184" t="s">
        <v>221</v>
      </c>
      <c r="D12" s="184">
        <f>10</f>
        <v>10</v>
      </c>
      <c r="E12" s="184"/>
      <c r="F12" s="184"/>
      <c r="G12" s="184"/>
    </row>
    <row r="13" spans="2:7" x14ac:dyDescent="0.2">
      <c r="B13" s="154"/>
      <c r="C13" s="184" t="s">
        <v>97</v>
      </c>
      <c r="D13" s="184">
        <v>12.5</v>
      </c>
      <c r="E13" s="184"/>
      <c r="F13" s="184"/>
      <c r="G13" s="184"/>
    </row>
    <row r="14" spans="2:7" ht="16" x14ac:dyDescent="0.2">
      <c r="B14" s="155" t="s">
        <v>366</v>
      </c>
      <c r="C14" s="183" t="s">
        <v>97</v>
      </c>
      <c r="D14" s="183">
        <f>12.5</f>
        <v>12.5</v>
      </c>
      <c r="E14" s="183"/>
      <c r="F14" s="183"/>
      <c r="G14" s="183">
        <f>SUM(D14:D15)</f>
        <v>22.5</v>
      </c>
    </row>
    <row r="15" spans="2:7" x14ac:dyDescent="0.2">
      <c r="B15" s="153"/>
      <c r="C15" s="183" t="s">
        <v>367</v>
      </c>
      <c r="D15" s="183">
        <v>10</v>
      </c>
      <c r="E15" s="183"/>
      <c r="F15" s="183"/>
      <c r="G15" s="183"/>
    </row>
    <row r="16" spans="2:7" x14ac:dyDescent="0.2">
      <c r="B16" s="154" t="s">
        <v>368</v>
      </c>
      <c r="C16" s="184"/>
      <c r="D16" s="184"/>
      <c r="E16" s="184"/>
      <c r="F16" s="184"/>
      <c r="G16" s="184">
        <f>SUM(D17:D18)</f>
        <v>22.5</v>
      </c>
    </row>
    <row r="17" spans="2:7" x14ac:dyDescent="0.2">
      <c r="B17" s="154"/>
      <c r="C17" s="184" t="s">
        <v>221</v>
      </c>
      <c r="D17" s="184">
        <f>10</f>
        <v>10</v>
      </c>
      <c r="E17" s="184"/>
      <c r="F17" s="184"/>
      <c r="G17" s="184"/>
    </row>
    <row r="18" spans="2:7" x14ac:dyDescent="0.2">
      <c r="B18" s="154"/>
      <c r="C18" s="184" t="s">
        <v>97</v>
      </c>
      <c r="D18" s="184">
        <v>12.5</v>
      </c>
      <c r="E18" s="184"/>
      <c r="F18" s="184"/>
      <c r="G18" s="184"/>
    </row>
    <row r="19" spans="2:7" ht="16" x14ac:dyDescent="0.2">
      <c r="B19" s="155" t="s">
        <v>369</v>
      </c>
      <c r="C19" s="183" t="s">
        <v>97</v>
      </c>
      <c r="D19" s="183">
        <v>12.5</v>
      </c>
      <c r="E19" s="183"/>
      <c r="F19" s="183"/>
      <c r="G19" s="183">
        <f>D19</f>
        <v>12.5</v>
      </c>
    </row>
    <row r="20" spans="2:7" x14ac:dyDescent="0.2">
      <c r="B20" s="154" t="s">
        <v>370</v>
      </c>
      <c r="C20" s="184"/>
      <c r="D20" s="184"/>
      <c r="E20" s="184"/>
      <c r="F20" s="184"/>
      <c r="G20" s="184">
        <f>SUM(D21:D22)</f>
        <v>22.5</v>
      </c>
    </row>
    <row r="21" spans="2:7" x14ac:dyDescent="0.2">
      <c r="B21" s="154"/>
      <c r="C21" s="184" t="s">
        <v>221</v>
      </c>
      <c r="D21" s="184">
        <f>10</f>
        <v>10</v>
      </c>
      <c r="E21" s="184"/>
      <c r="F21" s="184"/>
      <c r="G21" s="184"/>
    </row>
    <row r="22" spans="2:7" x14ac:dyDescent="0.2">
      <c r="B22" s="154"/>
      <c r="C22" s="184" t="s">
        <v>97</v>
      </c>
      <c r="D22" s="184">
        <v>12.5</v>
      </c>
      <c r="E22" s="184"/>
      <c r="F22" s="184"/>
      <c r="G22" s="184"/>
    </row>
    <row r="23" spans="2:7" ht="16" x14ac:dyDescent="0.2">
      <c r="B23" s="155" t="s">
        <v>371</v>
      </c>
      <c r="C23" s="183" t="s">
        <v>97</v>
      </c>
      <c r="D23" s="183">
        <f>12.5</f>
        <v>12.5</v>
      </c>
      <c r="E23" s="183"/>
      <c r="F23" s="183"/>
      <c r="G23" s="183">
        <f>SUM(D23:D24)</f>
        <v>22.5</v>
      </c>
    </row>
    <row r="24" spans="2:7" x14ac:dyDescent="0.2">
      <c r="B24" s="153"/>
      <c r="C24" s="183" t="s">
        <v>367</v>
      </c>
      <c r="D24" s="183">
        <v>10</v>
      </c>
      <c r="E24" s="183"/>
      <c r="F24" s="183"/>
      <c r="G24" s="183"/>
    </row>
    <row r="25" spans="2:7" x14ac:dyDescent="0.2">
      <c r="B25" s="154" t="s">
        <v>372</v>
      </c>
      <c r="C25" s="184"/>
      <c r="D25" s="184"/>
      <c r="E25" s="184"/>
      <c r="F25" s="184"/>
      <c r="G25" s="184">
        <f>SUM(D26:D28)</f>
        <v>57.5</v>
      </c>
    </row>
    <row r="26" spans="2:7" x14ac:dyDescent="0.2">
      <c r="B26" s="154"/>
      <c r="C26" s="184" t="s">
        <v>373</v>
      </c>
      <c r="D26" s="184">
        <v>15</v>
      </c>
      <c r="E26" s="184"/>
      <c r="F26" s="184"/>
      <c r="G26" s="184"/>
    </row>
    <row r="27" spans="2:7" x14ac:dyDescent="0.2">
      <c r="B27" s="154"/>
      <c r="C27" s="184" t="s">
        <v>221</v>
      </c>
      <c r="D27" s="184">
        <v>30</v>
      </c>
      <c r="E27" s="184"/>
      <c r="F27" s="184"/>
      <c r="G27" s="184"/>
    </row>
    <row r="28" spans="2:7" x14ac:dyDescent="0.2">
      <c r="B28" s="154"/>
      <c r="C28" s="184" t="s">
        <v>97</v>
      </c>
      <c r="D28" s="184">
        <v>12.5</v>
      </c>
      <c r="E28" s="184"/>
      <c r="F28" s="184"/>
      <c r="G28" s="184"/>
    </row>
    <row r="29" spans="2:7" x14ac:dyDescent="0.2">
      <c r="B29" s="153" t="s">
        <v>374</v>
      </c>
      <c r="C29" s="183"/>
      <c r="D29" s="183"/>
      <c r="E29" s="183"/>
      <c r="F29" s="183"/>
      <c r="G29" s="183">
        <f>SUM(D30:D31)</f>
        <v>22.5</v>
      </c>
    </row>
    <row r="30" spans="2:7" x14ac:dyDescent="0.2">
      <c r="B30" s="153"/>
      <c r="C30" s="183" t="s">
        <v>221</v>
      </c>
      <c r="D30" s="183">
        <v>10</v>
      </c>
      <c r="E30" s="183"/>
      <c r="F30" s="183"/>
      <c r="G30" s="183"/>
    </row>
    <row r="31" spans="2:7" x14ac:dyDescent="0.2">
      <c r="B31" s="153"/>
      <c r="C31" s="183" t="s">
        <v>97</v>
      </c>
      <c r="D31" s="183">
        <v>12.5</v>
      </c>
      <c r="E31" s="183"/>
      <c r="F31" s="183"/>
      <c r="G31" s="183"/>
    </row>
    <row r="32" spans="2:7" x14ac:dyDescent="0.2">
      <c r="B32" s="83" t="s">
        <v>6</v>
      </c>
      <c r="C32" s="179"/>
      <c r="D32" s="179"/>
      <c r="E32" s="179"/>
      <c r="F32" s="179"/>
      <c r="G32" s="182">
        <f>SUM(G6:G31)</f>
        <v>262.5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53C15-7494-914E-B395-CC90A047E4AB}">
  <dimension ref="B4:I18"/>
  <sheetViews>
    <sheetView topLeftCell="A3" zoomScale="167" workbookViewId="0">
      <selection activeCell="I7" sqref="I7:I11"/>
    </sheetView>
  </sheetViews>
  <sheetFormatPr baseColWidth="10" defaultRowHeight="15" x14ac:dyDescent="0.2"/>
  <cols>
    <col min="2" max="2" width="20.5" customWidth="1"/>
    <col min="3" max="3" width="20.1640625" customWidth="1"/>
    <col min="6" max="6" width="13.1640625" customWidth="1"/>
  </cols>
  <sheetData>
    <row r="4" spans="2:9" ht="26" x14ac:dyDescent="0.3">
      <c r="B4" s="1" t="s">
        <v>46</v>
      </c>
      <c r="C4" s="2"/>
      <c r="D4" s="2"/>
      <c r="E4" s="2"/>
      <c r="F4" s="2"/>
      <c r="G4" s="2"/>
    </row>
    <row r="5" spans="2:9" x14ac:dyDescent="0.2">
      <c r="C5" s="2"/>
      <c r="D5" s="2"/>
      <c r="E5" s="2"/>
      <c r="F5" s="2"/>
      <c r="G5" s="2"/>
    </row>
    <row r="6" spans="2:9" x14ac:dyDescent="0.2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2:9" ht="32" x14ac:dyDescent="0.2">
      <c r="B7" s="69" t="s">
        <v>414</v>
      </c>
      <c r="C7" s="5"/>
      <c r="D7" s="5"/>
      <c r="E7" s="5" t="s">
        <v>375</v>
      </c>
      <c r="F7" s="43">
        <f>20*4</f>
        <v>80</v>
      </c>
      <c r="G7" s="43">
        <f>SUM(D8:D10)-F7</f>
        <v>70</v>
      </c>
      <c r="H7" s="178"/>
    </row>
    <row r="8" spans="2:9" x14ac:dyDescent="0.2">
      <c r="B8" s="69"/>
      <c r="C8" s="5" t="s">
        <v>376</v>
      </c>
      <c r="D8" s="43">
        <v>60</v>
      </c>
      <c r="E8" s="5"/>
      <c r="F8" s="5"/>
      <c r="G8" s="5"/>
      <c r="I8" s="178"/>
    </row>
    <row r="9" spans="2:9" x14ac:dyDescent="0.2">
      <c r="B9" s="69"/>
      <c r="C9" s="5" t="s">
        <v>377</v>
      </c>
      <c r="D9" s="43">
        <v>50</v>
      </c>
      <c r="E9" s="5"/>
      <c r="F9" s="5"/>
      <c r="G9" s="5"/>
      <c r="I9" s="178"/>
    </row>
    <row r="10" spans="2:9" x14ac:dyDescent="0.2">
      <c r="B10" s="69"/>
      <c r="C10" s="5" t="s">
        <v>378</v>
      </c>
      <c r="D10" s="43">
        <v>40</v>
      </c>
      <c r="E10" s="5"/>
      <c r="F10" s="5"/>
      <c r="G10" s="5"/>
      <c r="I10" s="178"/>
    </row>
    <row r="11" spans="2:9" ht="16" x14ac:dyDescent="0.2">
      <c r="B11" s="68" t="s">
        <v>379</v>
      </c>
      <c r="C11" s="6"/>
      <c r="D11" s="6"/>
      <c r="E11" s="6"/>
      <c r="F11" s="6"/>
      <c r="G11" s="6">
        <f>SUM(D12:D14)</f>
        <v>45</v>
      </c>
    </row>
    <row r="12" spans="2:9" x14ac:dyDescent="0.2">
      <c r="B12" s="68"/>
      <c r="C12" s="6" t="s">
        <v>380</v>
      </c>
      <c r="D12" s="46">
        <f>10</f>
        <v>10</v>
      </c>
      <c r="E12" s="6"/>
      <c r="F12" s="6"/>
      <c r="G12" s="6"/>
    </row>
    <row r="13" spans="2:9" x14ac:dyDescent="0.2">
      <c r="B13" s="68"/>
      <c r="C13" s="6" t="s">
        <v>381</v>
      </c>
      <c r="D13" s="46">
        <f>15</f>
        <v>15</v>
      </c>
      <c r="E13" s="6"/>
      <c r="F13" s="6"/>
      <c r="G13" s="6"/>
    </row>
    <row r="14" spans="2:9" x14ac:dyDescent="0.2">
      <c r="B14" s="68"/>
      <c r="C14" s="6" t="s">
        <v>382</v>
      </c>
      <c r="D14" s="46">
        <f>20</f>
        <v>20</v>
      </c>
      <c r="E14" s="6"/>
      <c r="F14" s="6"/>
      <c r="G14" s="6"/>
    </row>
    <row r="15" spans="2:9" ht="32" x14ac:dyDescent="0.2">
      <c r="B15" s="21" t="s">
        <v>415</v>
      </c>
      <c r="C15" s="8" t="s">
        <v>382</v>
      </c>
      <c r="D15" s="65">
        <v>20</v>
      </c>
      <c r="E15" s="8"/>
      <c r="F15" s="8"/>
      <c r="G15" s="8">
        <f>D15</f>
        <v>20</v>
      </c>
    </row>
    <row r="16" spans="2:9" ht="16" x14ac:dyDescent="0.2">
      <c r="B16" s="22" t="s">
        <v>416</v>
      </c>
      <c r="C16" s="7" t="s">
        <v>445</v>
      </c>
      <c r="D16" s="66">
        <f>3*12.5</f>
        <v>37.5</v>
      </c>
      <c r="E16" s="7"/>
      <c r="F16" s="7"/>
      <c r="G16" s="66">
        <v>37.5</v>
      </c>
    </row>
    <row r="17" spans="2:7" ht="16" x14ac:dyDescent="0.2">
      <c r="B17" s="21" t="s">
        <v>417</v>
      </c>
      <c r="C17" s="8" t="s">
        <v>446</v>
      </c>
      <c r="D17" s="8">
        <f>4*12.5</f>
        <v>50</v>
      </c>
      <c r="E17" s="8"/>
      <c r="F17" s="8"/>
      <c r="G17" s="65">
        <v>50</v>
      </c>
    </row>
    <row r="18" spans="2:7" x14ac:dyDescent="0.2">
      <c r="B18" s="3" t="s">
        <v>6</v>
      </c>
      <c r="C18" s="2"/>
      <c r="D18" s="2"/>
      <c r="E18" s="2"/>
      <c r="F18" s="2"/>
      <c r="G18" s="4">
        <f>SUM(G7:G17)</f>
        <v>222.5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6022E-3406-6149-BA8D-A94EA7C4E2E2}">
  <dimension ref="B4:G15"/>
  <sheetViews>
    <sheetView zoomScale="150" workbookViewId="0">
      <selection activeCell="I13" sqref="I13"/>
    </sheetView>
  </sheetViews>
  <sheetFormatPr baseColWidth="10" defaultRowHeight="15" x14ac:dyDescent="0.2"/>
  <cols>
    <col min="2" max="2" width="17.5" customWidth="1"/>
    <col min="3" max="3" width="19" customWidth="1"/>
    <col min="6" max="6" width="12.33203125" customWidth="1"/>
  </cols>
  <sheetData>
    <row r="4" spans="2:7" ht="26" x14ac:dyDescent="0.3">
      <c r="B4" s="12" t="s">
        <v>186</v>
      </c>
      <c r="C4" s="12"/>
      <c r="D4" s="14"/>
      <c r="E4" s="14"/>
      <c r="F4" s="14"/>
      <c r="G4" s="14"/>
    </row>
    <row r="5" spans="2:7" x14ac:dyDescent="0.2">
      <c r="B5" s="13"/>
      <c r="C5" s="14"/>
      <c r="D5" s="14"/>
      <c r="E5" s="14"/>
      <c r="F5" s="14"/>
      <c r="G5" s="14"/>
    </row>
    <row r="6" spans="2:7" x14ac:dyDescent="0.2">
      <c r="B6" s="3" t="s">
        <v>0</v>
      </c>
      <c r="C6" s="4" t="s">
        <v>1</v>
      </c>
      <c r="D6" s="4" t="s">
        <v>2</v>
      </c>
      <c r="E6" s="4" t="s">
        <v>3</v>
      </c>
      <c r="F6" s="4" t="s">
        <v>4</v>
      </c>
      <c r="G6" s="4" t="s">
        <v>5</v>
      </c>
    </row>
    <row r="7" spans="2:7" ht="48" x14ac:dyDescent="0.2">
      <c r="B7" s="69" t="s">
        <v>187</v>
      </c>
      <c r="C7" s="33" t="s">
        <v>188</v>
      </c>
      <c r="D7" s="5">
        <v>12.5</v>
      </c>
      <c r="E7" s="5"/>
      <c r="F7" s="5"/>
      <c r="G7" s="5">
        <f>SUM(D7:D7)</f>
        <v>12.5</v>
      </c>
    </row>
    <row r="8" spans="2:7" ht="32" x14ac:dyDescent="0.2">
      <c r="B8" s="68" t="s">
        <v>189</v>
      </c>
      <c r="C8" s="34"/>
      <c r="D8" s="6"/>
      <c r="E8" s="6"/>
      <c r="F8" s="6"/>
      <c r="G8" s="6"/>
    </row>
    <row r="9" spans="2:7" x14ac:dyDescent="0.2">
      <c r="B9" s="68"/>
      <c r="C9" s="34" t="s">
        <v>188</v>
      </c>
      <c r="D9" s="6">
        <v>12.5</v>
      </c>
      <c r="E9" s="6"/>
      <c r="F9" s="6"/>
      <c r="G9" s="6"/>
    </row>
    <row r="10" spans="2:7" x14ac:dyDescent="0.2">
      <c r="B10" s="68"/>
      <c r="C10" s="26" t="s">
        <v>56</v>
      </c>
      <c r="D10" s="35">
        <v>10</v>
      </c>
      <c r="E10" s="6"/>
      <c r="F10" s="6"/>
      <c r="G10" s="6">
        <f>SUM(D9:D10)</f>
        <v>22.5</v>
      </c>
    </row>
    <row r="11" spans="2:7" ht="19" customHeight="1" x14ac:dyDescent="0.2">
      <c r="B11" s="21" t="s">
        <v>190</v>
      </c>
      <c r="C11" s="36"/>
      <c r="D11" s="8"/>
      <c r="E11" s="8"/>
      <c r="F11" s="8"/>
      <c r="G11" s="8"/>
    </row>
    <row r="12" spans="2:7" ht="32" x14ac:dyDescent="0.2">
      <c r="B12" s="111"/>
      <c r="C12" s="37" t="s">
        <v>191</v>
      </c>
      <c r="D12" s="38">
        <v>160</v>
      </c>
      <c r="E12" s="25"/>
      <c r="F12" s="25"/>
      <c r="G12" s="25"/>
    </row>
    <row r="13" spans="2:7" ht="16" x14ac:dyDescent="0.2">
      <c r="B13" s="111"/>
      <c r="C13" s="37" t="s">
        <v>188</v>
      </c>
      <c r="D13" s="41">
        <f>12.5</f>
        <v>12.5</v>
      </c>
      <c r="E13" s="25"/>
      <c r="F13" s="25"/>
      <c r="G13" s="25"/>
    </row>
    <row r="14" spans="2:7" x14ac:dyDescent="0.2">
      <c r="B14" s="20"/>
      <c r="C14" s="39" t="s">
        <v>192</v>
      </c>
      <c r="D14" s="38">
        <v>10</v>
      </c>
      <c r="E14" s="25"/>
      <c r="F14" s="25"/>
      <c r="G14" s="72">
        <f>SUM(D12:D14)</f>
        <v>182.5</v>
      </c>
    </row>
    <row r="15" spans="2:7" x14ac:dyDescent="0.2">
      <c r="B15" s="3" t="s">
        <v>6</v>
      </c>
      <c r="C15" s="2"/>
      <c r="D15" s="2"/>
      <c r="E15" s="2"/>
      <c r="F15" s="2"/>
      <c r="G15" s="4">
        <f>SUM(G7:G14)</f>
        <v>217.5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1F91C-E335-8144-9570-BC9E5871635B}">
  <dimension ref="B2:E32"/>
  <sheetViews>
    <sheetView workbookViewId="0">
      <selection activeCell="E32" sqref="E32"/>
    </sheetView>
  </sheetViews>
  <sheetFormatPr baseColWidth="10" defaultRowHeight="15" x14ac:dyDescent="0.2"/>
  <cols>
    <col min="2" max="2" width="30.1640625" customWidth="1"/>
    <col min="3" max="3" width="27.1640625" customWidth="1"/>
    <col min="4" max="4" width="16.83203125" customWidth="1"/>
    <col min="5" max="5" width="25.6640625" customWidth="1"/>
  </cols>
  <sheetData>
    <row r="2" spans="2:5" ht="26" x14ac:dyDescent="0.3">
      <c r="B2" s="1" t="s">
        <v>246</v>
      </c>
      <c r="C2" s="2"/>
      <c r="D2" s="2"/>
      <c r="E2" s="2"/>
    </row>
    <row r="3" spans="2:5" x14ac:dyDescent="0.2">
      <c r="C3" s="2"/>
      <c r="D3" s="2"/>
      <c r="E3" s="2"/>
    </row>
    <row r="4" spans="2:5" x14ac:dyDescent="0.2">
      <c r="B4" s="3" t="s">
        <v>0</v>
      </c>
      <c r="C4" s="4" t="s">
        <v>1</v>
      </c>
      <c r="D4" s="4" t="s">
        <v>2</v>
      </c>
      <c r="E4" s="4" t="s">
        <v>5</v>
      </c>
    </row>
    <row r="5" spans="2:5" ht="16" x14ac:dyDescent="0.2">
      <c r="B5" s="69" t="s">
        <v>402</v>
      </c>
      <c r="C5" s="5"/>
      <c r="D5" s="5"/>
      <c r="E5" s="5">
        <f>SUM(D6:D8)</f>
        <v>57.5</v>
      </c>
    </row>
    <row r="6" spans="2:5" x14ac:dyDescent="0.2">
      <c r="B6" s="69"/>
      <c r="C6" s="25" t="s">
        <v>230</v>
      </c>
      <c r="D6" s="5">
        <v>15</v>
      </c>
      <c r="E6" s="5"/>
    </row>
    <row r="7" spans="2:5" x14ac:dyDescent="0.2">
      <c r="B7" s="69"/>
      <c r="C7" s="5" t="s">
        <v>234</v>
      </c>
      <c r="D7" s="5">
        <v>30</v>
      </c>
      <c r="E7" s="5"/>
    </row>
    <row r="8" spans="2:5" x14ac:dyDescent="0.2">
      <c r="B8" s="69"/>
      <c r="C8" s="5" t="s">
        <v>235</v>
      </c>
      <c r="D8" s="5">
        <v>12.5</v>
      </c>
      <c r="E8" s="5"/>
    </row>
    <row r="9" spans="2:5" ht="16" x14ac:dyDescent="0.2">
      <c r="B9" s="68" t="s">
        <v>403</v>
      </c>
      <c r="C9" s="6"/>
      <c r="D9" s="6"/>
      <c r="E9" s="6">
        <f>SUM(D10:D12)</f>
        <v>46</v>
      </c>
    </row>
    <row r="10" spans="2:5" x14ac:dyDescent="0.2">
      <c r="B10" s="68"/>
      <c r="C10" s="6" t="s">
        <v>236</v>
      </c>
      <c r="D10" s="6">
        <v>12.5</v>
      </c>
      <c r="E10" s="26"/>
    </row>
    <row r="11" spans="2:5" x14ac:dyDescent="0.2">
      <c r="B11" s="68"/>
      <c r="C11" s="6" t="s">
        <v>237</v>
      </c>
      <c r="D11" s="6">
        <v>21</v>
      </c>
      <c r="E11" s="6"/>
    </row>
    <row r="12" spans="2:5" x14ac:dyDescent="0.2">
      <c r="B12" s="68"/>
      <c r="C12" s="6" t="s">
        <v>97</v>
      </c>
      <c r="D12" s="6">
        <v>12.5</v>
      </c>
      <c r="E12" s="6"/>
    </row>
    <row r="13" spans="2:5" ht="16" x14ac:dyDescent="0.2">
      <c r="B13" s="21" t="s">
        <v>404</v>
      </c>
      <c r="C13" s="25"/>
      <c r="D13" s="25"/>
      <c r="E13" s="8">
        <f>SUM(D14:D17)</f>
        <v>65.5</v>
      </c>
    </row>
    <row r="14" spans="2:5" x14ac:dyDescent="0.2">
      <c r="B14" s="21"/>
      <c r="C14" s="25" t="s">
        <v>231</v>
      </c>
      <c r="D14" s="8">
        <v>15</v>
      </c>
      <c r="E14" s="8"/>
    </row>
    <row r="15" spans="2:5" x14ac:dyDescent="0.2">
      <c r="B15" s="21"/>
      <c r="C15" s="8" t="s">
        <v>238</v>
      </c>
      <c r="D15" s="8">
        <v>30</v>
      </c>
      <c r="E15" s="8"/>
    </row>
    <row r="16" spans="2:5" x14ac:dyDescent="0.2">
      <c r="B16" s="21"/>
      <c r="C16" s="8" t="s">
        <v>239</v>
      </c>
      <c r="D16" s="8">
        <v>8</v>
      </c>
      <c r="E16" s="8"/>
    </row>
    <row r="17" spans="2:5" x14ac:dyDescent="0.2">
      <c r="B17" s="21"/>
      <c r="C17" s="8" t="s">
        <v>240</v>
      </c>
      <c r="D17" s="8">
        <v>12.5</v>
      </c>
      <c r="E17" s="25"/>
    </row>
    <row r="18" spans="2:5" ht="16" x14ac:dyDescent="0.2">
      <c r="B18" s="22" t="s">
        <v>405</v>
      </c>
      <c r="C18" s="26"/>
      <c r="D18" s="26"/>
      <c r="E18" s="7">
        <f>SUM(D19:D20)</f>
        <v>20.5</v>
      </c>
    </row>
    <row r="19" spans="2:5" x14ac:dyDescent="0.2">
      <c r="B19" s="22"/>
      <c r="C19" s="26" t="s">
        <v>232</v>
      </c>
      <c r="D19" s="7">
        <v>8</v>
      </c>
      <c r="E19" s="7"/>
    </row>
    <row r="20" spans="2:5" x14ac:dyDescent="0.2">
      <c r="B20" s="22"/>
      <c r="C20" s="7" t="s">
        <v>241</v>
      </c>
      <c r="D20" s="7">
        <v>12.5</v>
      </c>
      <c r="E20" s="7"/>
    </row>
    <row r="21" spans="2:5" ht="16" x14ac:dyDescent="0.2">
      <c r="B21" s="69" t="s">
        <v>406</v>
      </c>
      <c r="C21" s="5"/>
      <c r="D21" s="5"/>
      <c r="E21" s="5">
        <f>SUM(D22:D25)</f>
        <v>37.5</v>
      </c>
    </row>
    <row r="22" spans="2:5" x14ac:dyDescent="0.2">
      <c r="B22" s="69"/>
      <c r="C22" s="5" t="s">
        <v>242</v>
      </c>
      <c r="D22" s="5">
        <v>15</v>
      </c>
      <c r="E22" s="25"/>
    </row>
    <row r="23" spans="2:5" x14ac:dyDescent="0.2">
      <c r="B23" s="69"/>
      <c r="C23" s="5" t="s">
        <v>243</v>
      </c>
      <c r="D23" s="5">
        <v>5</v>
      </c>
      <c r="E23" s="5"/>
    </row>
    <row r="24" spans="2:5" x14ac:dyDescent="0.2">
      <c r="B24" s="69"/>
      <c r="C24" s="25" t="s">
        <v>448</v>
      </c>
      <c r="D24" s="5">
        <v>5</v>
      </c>
      <c r="E24" s="5"/>
    </row>
    <row r="25" spans="2:5" x14ac:dyDescent="0.2">
      <c r="B25" s="69"/>
      <c r="C25" s="5" t="s">
        <v>244</v>
      </c>
      <c r="D25" s="5">
        <v>12.5</v>
      </c>
      <c r="E25" s="5"/>
    </row>
    <row r="26" spans="2:5" ht="16" x14ac:dyDescent="0.2">
      <c r="B26" s="22" t="s">
        <v>407</v>
      </c>
      <c r="C26" s="26"/>
      <c r="D26" s="26"/>
      <c r="E26" s="7">
        <f>SUM(D27:D29)</f>
        <v>37.5</v>
      </c>
    </row>
    <row r="27" spans="2:5" x14ac:dyDescent="0.2">
      <c r="B27" s="22"/>
      <c r="C27" s="26" t="s">
        <v>233</v>
      </c>
      <c r="D27" s="7">
        <v>15</v>
      </c>
      <c r="E27" s="7"/>
    </row>
    <row r="28" spans="2:5" x14ac:dyDescent="0.2">
      <c r="B28" s="22"/>
      <c r="C28" s="7" t="s">
        <v>245</v>
      </c>
      <c r="D28" s="7">
        <v>10</v>
      </c>
      <c r="E28" s="7"/>
    </row>
    <row r="29" spans="2:5" x14ac:dyDescent="0.2">
      <c r="B29" s="22"/>
      <c r="C29" s="7" t="s">
        <v>114</v>
      </c>
      <c r="D29" s="7">
        <v>12.5</v>
      </c>
      <c r="E29" s="7"/>
    </row>
    <row r="30" spans="2:5" ht="16" x14ac:dyDescent="0.2">
      <c r="B30" s="69" t="s">
        <v>402</v>
      </c>
      <c r="C30" s="5"/>
      <c r="D30" s="5"/>
      <c r="E30" s="5">
        <f>SUM(D31:D31)</f>
        <v>12.5</v>
      </c>
    </row>
    <row r="31" spans="2:5" x14ac:dyDescent="0.2">
      <c r="B31" s="69"/>
      <c r="C31" s="5" t="s">
        <v>235</v>
      </c>
      <c r="D31" s="5">
        <v>12.5</v>
      </c>
      <c r="E31" s="5"/>
    </row>
    <row r="32" spans="2:5" x14ac:dyDescent="0.2">
      <c r="B32" s="3" t="s">
        <v>6</v>
      </c>
      <c r="E32" s="4">
        <f>SUM(E5:E30)</f>
        <v>277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4061A-E5AB-5244-94FA-B1B9EF0B2F0F}">
  <dimension ref="B4:E19"/>
  <sheetViews>
    <sheetView zoomScale="150" workbookViewId="0">
      <selection activeCell="E19" sqref="E19"/>
    </sheetView>
  </sheetViews>
  <sheetFormatPr baseColWidth="10" defaultRowHeight="15" x14ac:dyDescent="0.2"/>
  <cols>
    <col min="2" max="2" width="19" customWidth="1"/>
    <col min="3" max="3" width="25.6640625" customWidth="1"/>
    <col min="4" max="4" width="12.83203125" customWidth="1"/>
    <col min="5" max="5" width="11" customWidth="1"/>
  </cols>
  <sheetData>
    <row r="4" spans="2:5" ht="26" x14ac:dyDescent="0.3">
      <c r="B4" s="1" t="s">
        <v>41</v>
      </c>
      <c r="C4" s="2"/>
      <c r="D4" s="2"/>
      <c r="E4" s="2"/>
    </row>
    <row r="5" spans="2:5" x14ac:dyDescent="0.2">
      <c r="C5" s="2"/>
      <c r="D5" s="2"/>
      <c r="E5" s="2"/>
    </row>
    <row r="6" spans="2:5" x14ac:dyDescent="0.2">
      <c r="B6" s="3" t="s">
        <v>0</v>
      </c>
      <c r="C6" s="3" t="s">
        <v>1</v>
      </c>
      <c r="D6" s="3" t="s">
        <v>2</v>
      </c>
      <c r="E6" s="3" t="s">
        <v>5</v>
      </c>
    </row>
    <row r="7" spans="2:5" ht="16" x14ac:dyDescent="0.2">
      <c r="B7" s="69" t="s">
        <v>204</v>
      </c>
      <c r="C7" s="25"/>
      <c r="D7" s="38"/>
      <c r="E7" s="25"/>
    </row>
    <row r="8" spans="2:5" x14ac:dyDescent="0.2">
      <c r="B8" s="69"/>
      <c r="C8" s="25" t="s">
        <v>205</v>
      </c>
      <c r="D8" s="38">
        <v>90</v>
      </c>
      <c r="E8" s="38">
        <v>90</v>
      </c>
    </row>
    <row r="9" spans="2:5" ht="32" x14ac:dyDescent="0.2">
      <c r="B9" s="68" t="s">
        <v>206</v>
      </c>
      <c r="C9" s="26"/>
      <c r="D9" s="26"/>
      <c r="E9" s="26"/>
    </row>
    <row r="10" spans="2:5" x14ac:dyDescent="0.2">
      <c r="B10" s="68"/>
      <c r="C10" s="26" t="s">
        <v>207</v>
      </c>
      <c r="D10" s="26">
        <v>0</v>
      </c>
      <c r="E10" s="35">
        <v>0</v>
      </c>
    </row>
    <row r="11" spans="2:5" x14ac:dyDescent="0.2">
      <c r="B11" s="68"/>
      <c r="C11" s="26" t="s">
        <v>208</v>
      </c>
      <c r="D11" s="26">
        <v>0</v>
      </c>
      <c r="E11" s="35">
        <v>0</v>
      </c>
    </row>
    <row r="12" spans="2:5" x14ac:dyDescent="0.2">
      <c r="B12" s="68"/>
      <c r="C12" s="26" t="s">
        <v>209</v>
      </c>
      <c r="D12" s="35">
        <v>59.99</v>
      </c>
      <c r="E12" s="35">
        <v>60</v>
      </c>
    </row>
    <row r="13" spans="2:5" ht="16" x14ac:dyDescent="0.2">
      <c r="B13" s="69" t="s">
        <v>210</v>
      </c>
      <c r="C13" s="25"/>
      <c r="D13" s="25"/>
      <c r="E13" s="25"/>
    </row>
    <row r="14" spans="2:5" x14ac:dyDescent="0.2">
      <c r="B14" s="69"/>
      <c r="C14" s="25" t="s">
        <v>211</v>
      </c>
      <c r="D14" s="41">
        <v>15.3</v>
      </c>
      <c r="E14" s="72"/>
    </row>
    <row r="15" spans="2:5" x14ac:dyDescent="0.2">
      <c r="B15" s="69"/>
      <c r="C15" s="25" t="s">
        <v>212</v>
      </c>
      <c r="D15" s="41">
        <v>11.5</v>
      </c>
      <c r="E15" s="72"/>
    </row>
    <row r="16" spans="2:5" x14ac:dyDescent="0.2">
      <c r="B16" s="20"/>
      <c r="C16" s="25" t="s">
        <v>213</v>
      </c>
      <c r="D16" s="41">
        <v>10.5</v>
      </c>
      <c r="E16" s="72"/>
    </row>
    <row r="17" spans="2:5" x14ac:dyDescent="0.2">
      <c r="B17" s="25"/>
      <c r="C17" s="25" t="s">
        <v>214</v>
      </c>
      <c r="D17" s="41">
        <v>14.9</v>
      </c>
      <c r="E17" s="72"/>
    </row>
    <row r="18" spans="2:5" x14ac:dyDescent="0.2">
      <c r="B18" s="25"/>
      <c r="C18" s="25" t="s">
        <v>215</v>
      </c>
      <c r="D18" s="38">
        <v>5.9</v>
      </c>
      <c r="E18" s="41">
        <f>SUM(D14:D18)</f>
        <v>58.099999999999994</v>
      </c>
    </row>
    <row r="19" spans="2:5" x14ac:dyDescent="0.2">
      <c r="B19" s="3" t="s">
        <v>6</v>
      </c>
      <c r="C19" s="3"/>
      <c r="D19" s="3"/>
      <c r="E19" s="174">
        <f>(SUM(E8:E18))</f>
        <v>208.1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61EFB-E254-1540-8823-EA7A2A224A95}">
  <dimension ref="B4:H22"/>
  <sheetViews>
    <sheetView topLeftCell="A2" zoomScale="163" workbookViewId="0">
      <selection activeCell="G17" sqref="G17"/>
    </sheetView>
  </sheetViews>
  <sheetFormatPr baseColWidth="10" defaultRowHeight="15" x14ac:dyDescent="0.2"/>
  <cols>
    <col min="2" max="2" width="21" customWidth="1"/>
    <col min="3" max="3" width="25.6640625" customWidth="1"/>
    <col min="6" max="6" width="13.6640625" customWidth="1"/>
    <col min="7" max="7" width="12.33203125" customWidth="1"/>
  </cols>
  <sheetData>
    <row r="4" spans="2:8" ht="25" x14ac:dyDescent="0.25">
      <c r="B4" s="51" t="s">
        <v>305</v>
      </c>
      <c r="C4" s="52"/>
      <c r="D4" s="52"/>
      <c r="E4" s="52"/>
      <c r="F4" s="52"/>
      <c r="G4" s="52"/>
    </row>
    <row r="5" spans="2:8" ht="16" x14ac:dyDescent="0.2">
      <c r="B5" s="52"/>
      <c r="C5" s="52"/>
      <c r="D5" s="52"/>
      <c r="E5" s="52"/>
      <c r="F5" s="52"/>
      <c r="G5" s="52"/>
    </row>
    <row r="6" spans="2:8" x14ac:dyDescent="0.2"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</row>
    <row r="7" spans="2:8" ht="16" x14ac:dyDescent="0.2">
      <c r="B7" s="69" t="s">
        <v>411</v>
      </c>
      <c r="C7" s="25"/>
      <c r="D7" s="8"/>
      <c r="E7" s="25"/>
      <c r="F7" s="25"/>
      <c r="G7" s="8">
        <f>2*12.5</f>
        <v>25</v>
      </c>
    </row>
    <row r="8" spans="2:8" x14ac:dyDescent="0.2">
      <c r="B8" s="76" t="s">
        <v>306</v>
      </c>
      <c r="C8" s="25"/>
      <c r="D8" s="25"/>
      <c r="E8" s="25"/>
      <c r="F8" s="25"/>
      <c r="G8" s="25"/>
    </row>
    <row r="9" spans="2:8" x14ac:dyDescent="0.2">
      <c r="B9" s="69"/>
      <c r="C9" s="25" t="s">
        <v>464</v>
      </c>
      <c r="D9" s="8" t="s">
        <v>465</v>
      </c>
      <c r="E9" s="25"/>
      <c r="F9" s="25"/>
      <c r="G9" s="25"/>
    </row>
    <row r="10" spans="2:8" ht="32" x14ac:dyDescent="0.2">
      <c r="B10" s="68" t="s">
        <v>307</v>
      </c>
      <c r="C10" s="26"/>
      <c r="D10" s="7"/>
      <c r="E10" s="26"/>
      <c r="F10" s="26"/>
      <c r="G10" s="7">
        <f>D10+D11</f>
        <v>30</v>
      </c>
    </row>
    <row r="11" spans="2:8" x14ac:dyDescent="0.2">
      <c r="B11" s="68"/>
      <c r="C11" s="26" t="s">
        <v>308</v>
      </c>
      <c r="D11" s="7">
        <v>30</v>
      </c>
      <c r="E11" s="26"/>
      <c r="F11" s="26"/>
      <c r="G11" s="26"/>
    </row>
    <row r="12" spans="2:8" x14ac:dyDescent="0.2">
      <c r="B12" s="68"/>
      <c r="C12" s="26"/>
      <c r="D12" s="26"/>
      <c r="E12" s="26"/>
      <c r="F12" s="26"/>
      <c r="G12" s="26"/>
    </row>
    <row r="13" spans="2:8" ht="32" x14ac:dyDescent="0.2">
      <c r="B13" s="69" t="s">
        <v>309</v>
      </c>
      <c r="C13" s="25" t="s">
        <v>97</v>
      </c>
      <c r="D13" s="8">
        <v>12.5</v>
      </c>
      <c r="E13" s="25"/>
      <c r="F13" s="25"/>
      <c r="G13" s="8">
        <f>12.5</f>
        <v>12.5</v>
      </c>
    </row>
    <row r="14" spans="2:8" ht="32" x14ac:dyDescent="0.2">
      <c r="B14" s="68" t="s">
        <v>310</v>
      </c>
      <c r="C14" s="26" t="s">
        <v>311</v>
      </c>
      <c r="D14" s="89">
        <v>150</v>
      </c>
      <c r="E14" s="26" t="s">
        <v>412</v>
      </c>
      <c r="F14" s="7">
        <f>3*25</f>
        <v>75</v>
      </c>
      <c r="G14" s="7">
        <f>(D14+D15+D16)-F14</f>
        <v>115</v>
      </c>
      <c r="H14" s="84"/>
    </row>
    <row r="15" spans="2:8" x14ac:dyDescent="0.2">
      <c r="B15" s="78" t="s">
        <v>312</v>
      </c>
      <c r="C15" s="26" t="s">
        <v>48</v>
      </c>
      <c r="D15" s="89">
        <v>30</v>
      </c>
      <c r="E15" s="26"/>
      <c r="F15" s="26"/>
      <c r="G15" s="26"/>
    </row>
    <row r="16" spans="2:8" x14ac:dyDescent="0.2">
      <c r="B16" s="26"/>
      <c r="C16" s="26" t="s">
        <v>56</v>
      </c>
      <c r="D16" s="89">
        <v>10</v>
      </c>
      <c r="E16" s="26"/>
      <c r="F16" s="26"/>
      <c r="G16" s="26"/>
    </row>
    <row r="17" spans="2:7" ht="16" x14ac:dyDescent="0.2">
      <c r="B17" s="30" t="s">
        <v>6</v>
      </c>
      <c r="C17" s="52"/>
      <c r="D17" s="52"/>
      <c r="E17" s="52"/>
      <c r="F17" s="52"/>
      <c r="G17" s="88">
        <f>SUM(G7:G16)</f>
        <v>182.5</v>
      </c>
    </row>
    <row r="18" spans="2:7" ht="16" x14ac:dyDescent="0.2">
      <c r="B18" s="54"/>
      <c r="C18" s="54"/>
      <c r="D18" s="54"/>
      <c r="E18" s="54"/>
      <c r="F18" s="54"/>
      <c r="G18" s="54"/>
    </row>
    <row r="19" spans="2:7" ht="16" x14ac:dyDescent="0.2">
      <c r="B19" s="54"/>
      <c r="C19" s="54"/>
      <c r="D19" s="54"/>
      <c r="E19" s="54"/>
      <c r="F19" s="54"/>
      <c r="G19" s="54"/>
    </row>
    <row r="20" spans="2:7" ht="16" x14ac:dyDescent="0.2">
      <c r="B20" s="3"/>
      <c r="C20" s="54"/>
      <c r="D20" s="54"/>
      <c r="E20" s="54"/>
      <c r="F20" s="54"/>
      <c r="G20" s="3"/>
    </row>
    <row r="21" spans="2:7" ht="16" x14ac:dyDescent="0.2">
      <c r="B21" s="52"/>
      <c r="C21" s="52"/>
      <c r="D21" s="52"/>
      <c r="E21" s="52"/>
      <c r="F21" s="52"/>
      <c r="G21" s="52"/>
    </row>
    <row r="22" spans="2:7" ht="16" x14ac:dyDescent="0.2">
      <c r="B22" s="30"/>
      <c r="C22" s="52"/>
      <c r="D22" s="52"/>
      <c r="E22" s="52"/>
      <c r="F22" s="52"/>
      <c r="G22" s="30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580AA-5BAC-EF49-A927-E618A2F5AD19}">
  <dimension ref="B4:G28"/>
  <sheetViews>
    <sheetView topLeftCell="A6" zoomScale="137" workbookViewId="0">
      <selection activeCell="G26" sqref="G26"/>
    </sheetView>
  </sheetViews>
  <sheetFormatPr baseColWidth="10" defaultRowHeight="15" x14ac:dyDescent="0.2"/>
  <cols>
    <col min="2" max="2" width="19.33203125" customWidth="1"/>
    <col min="3" max="3" width="18.83203125" customWidth="1"/>
    <col min="7" max="7" width="14.6640625" customWidth="1"/>
  </cols>
  <sheetData>
    <row r="4" spans="2:7" ht="26" x14ac:dyDescent="0.3">
      <c r="B4" s="12" t="s">
        <v>49</v>
      </c>
      <c r="C4" s="14"/>
      <c r="D4" s="14"/>
      <c r="E4" s="14"/>
      <c r="F4" s="14"/>
      <c r="G4" s="14"/>
    </row>
    <row r="5" spans="2:7" x14ac:dyDescent="0.2">
      <c r="B5" s="13"/>
      <c r="C5" s="14"/>
      <c r="D5" s="14"/>
      <c r="E5" s="14"/>
      <c r="F5" s="14"/>
      <c r="G5" s="14"/>
    </row>
    <row r="6" spans="2:7" ht="24" x14ac:dyDescent="0.25">
      <c r="B6" s="70"/>
      <c r="C6" s="31"/>
      <c r="D6" s="31"/>
      <c r="E6" s="31"/>
      <c r="F6" s="31"/>
      <c r="G6" s="31"/>
    </row>
    <row r="7" spans="2:7" ht="16" x14ac:dyDescent="0.2">
      <c r="B7" s="31"/>
      <c r="C7" s="31"/>
      <c r="D7" s="31"/>
      <c r="E7" s="31"/>
      <c r="F7" s="31"/>
      <c r="G7" s="31"/>
    </row>
    <row r="8" spans="2:7" x14ac:dyDescent="0.2">
      <c r="B8" s="83" t="s">
        <v>0</v>
      </c>
      <c r="C8" s="83" t="s">
        <v>1</v>
      </c>
      <c r="D8" s="83" t="s">
        <v>2</v>
      </c>
      <c r="E8" s="83" t="s">
        <v>3</v>
      </c>
      <c r="F8" s="83" t="s">
        <v>4</v>
      </c>
      <c r="G8" s="83" t="s">
        <v>5</v>
      </c>
    </row>
    <row r="9" spans="2:7" ht="16" x14ac:dyDescent="0.2">
      <c r="B9" s="86" t="s">
        <v>128</v>
      </c>
      <c r="C9" s="24" t="s">
        <v>129</v>
      </c>
      <c r="D9" s="5"/>
      <c r="E9" s="25"/>
      <c r="F9" s="25"/>
      <c r="G9" s="25"/>
    </row>
    <row r="10" spans="2:7" ht="16" x14ac:dyDescent="0.2">
      <c r="B10" s="86" t="s">
        <v>130</v>
      </c>
      <c r="C10" s="24" t="s">
        <v>131</v>
      </c>
      <c r="D10" s="5"/>
      <c r="E10" s="25"/>
      <c r="F10" s="25"/>
      <c r="G10" s="81"/>
    </row>
    <row r="11" spans="2:7" ht="16" x14ac:dyDescent="0.2">
      <c r="B11" s="20"/>
      <c r="C11" s="24" t="s">
        <v>97</v>
      </c>
      <c r="D11" s="5">
        <f>12.5</f>
        <v>12.5</v>
      </c>
      <c r="E11" s="25"/>
      <c r="F11" s="25"/>
      <c r="G11" s="81">
        <f>D11</f>
        <v>12.5</v>
      </c>
    </row>
    <row r="12" spans="2:7" ht="16" x14ac:dyDescent="0.2">
      <c r="B12" s="67" t="s">
        <v>132</v>
      </c>
      <c r="C12" s="27" t="s">
        <v>133</v>
      </c>
      <c r="D12" s="6"/>
      <c r="E12" s="26"/>
      <c r="F12" s="26"/>
      <c r="G12" s="82"/>
    </row>
    <row r="13" spans="2:7" ht="16" x14ac:dyDescent="0.2">
      <c r="B13" s="19"/>
      <c r="C13" s="27" t="s">
        <v>134</v>
      </c>
      <c r="D13" s="6"/>
      <c r="E13" s="26"/>
      <c r="F13" s="26"/>
      <c r="G13" s="82"/>
    </row>
    <row r="14" spans="2:7" ht="16" x14ac:dyDescent="0.2">
      <c r="B14" s="19"/>
      <c r="C14" s="27" t="s">
        <v>97</v>
      </c>
      <c r="D14" s="6">
        <f>12.5</f>
        <v>12.5</v>
      </c>
      <c r="E14" s="26"/>
      <c r="F14" s="26"/>
      <c r="G14" s="82">
        <f>D14</f>
        <v>12.5</v>
      </c>
    </row>
    <row r="15" spans="2:7" ht="16" x14ac:dyDescent="0.2">
      <c r="B15" s="86" t="s">
        <v>135</v>
      </c>
      <c r="C15" s="24" t="s">
        <v>136</v>
      </c>
      <c r="D15" s="8">
        <f>12.5</f>
        <v>12.5</v>
      </c>
      <c r="E15" s="25"/>
      <c r="F15" s="25"/>
      <c r="G15" s="81"/>
    </row>
    <row r="16" spans="2:7" x14ac:dyDescent="0.2">
      <c r="B16" s="20"/>
      <c r="C16" s="40"/>
      <c r="D16" s="5"/>
      <c r="E16" s="25"/>
      <c r="F16" s="25"/>
      <c r="G16" s="81">
        <f>D15</f>
        <v>12.5</v>
      </c>
    </row>
    <row r="17" spans="2:7" ht="16" x14ac:dyDescent="0.2">
      <c r="B17" s="67" t="s">
        <v>128</v>
      </c>
      <c r="C17" s="27" t="s">
        <v>129</v>
      </c>
      <c r="D17" s="6"/>
      <c r="E17" s="26"/>
      <c r="F17" s="26"/>
      <c r="G17" s="82"/>
    </row>
    <row r="18" spans="2:7" ht="16" x14ac:dyDescent="0.2">
      <c r="B18" s="67" t="s">
        <v>130</v>
      </c>
      <c r="C18" s="27" t="s">
        <v>97</v>
      </c>
      <c r="D18" s="6">
        <f>12.5</f>
        <v>12.5</v>
      </c>
      <c r="E18" s="26"/>
      <c r="F18" s="26"/>
      <c r="G18" s="82">
        <f>D18</f>
        <v>12.5</v>
      </c>
    </row>
    <row r="19" spans="2:7" ht="16" x14ac:dyDescent="0.2">
      <c r="B19" s="86" t="s">
        <v>137</v>
      </c>
      <c r="C19" s="24" t="s">
        <v>138</v>
      </c>
      <c r="D19" s="5"/>
      <c r="E19" s="29"/>
      <c r="F19" s="29"/>
      <c r="G19" s="81"/>
    </row>
    <row r="20" spans="2:7" ht="16" x14ac:dyDescent="0.2">
      <c r="B20" s="20"/>
      <c r="C20" s="24" t="s">
        <v>139</v>
      </c>
      <c r="D20" s="5">
        <f>12.5</f>
        <v>12.5</v>
      </c>
      <c r="E20" s="25"/>
      <c r="F20" s="25"/>
      <c r="G20" s="81"/>
    </row>
    <row r="21" spans="2:7" ht="16" x14ac:dyDescent="0.2">
      <c r="B21" s="20"/>
      <c r="C21" s="24" t="s">
        <v>140</v>
      </c>
      <c r="D21" s="5">
        <f>15</f>
        <v>15</v>
      </c>
      <c r="E21" s="25"/>
      <c r="F21" s="29" t="s">
        <v>394</v>
      </c>
      <c r="G21" s="81"/>
    </row>
    <row r="22" spans="2:7" ht="16" x14ac:dyDescent="0.2">
      <c r="B22" s="20"/>
      <c r="C22" s="24" t="s">
        <v>141</v>
      </c>
      <c r="D22" s="8"/>
      <c r="E22" s="25"/>
      <c r="F22" s="25"/>
      <c r="G22" s="81">
        <f>D20+D21</f>
        <v>27.5</v>
      </c>
    </row>
    <row r="23" spans="2:7" ht="16" x14ac:dyDescent="0.2">
      <c r="B23" s="67" t="s">
        <v>142</v>
      </c>
      <c r="C23" s="27" t="s">
        <v>129</v>
      </c>
      <c r="D23" s="6"/>
      <c r="E23" s="26"/>
      <c r="F23" s="26"/>
      <c r="G23" s="82"/>
    </row>
    <row r="24" spans="2:7" ht="16" x14ac:dyDescent="0.2">
      <c r="B24" s="22" t="s">
        <v>129</v>
      </c>
      <c r="C24" s="27" t="s">
        <v>97</v>
      </c>
      <c r="D24" s="6">
        <f>12.5</f>
        <v>12.5</v>
      </c>
      <c r="E24" s="26"/>
      <c r="F24" s="26"/>
      <c r="G24" s="82">
        <f>D24</f>
        <v>12.5</v>
      </c>
    </row>
    <row r="25" spans="2:7" ht="32" x14ac:dyDescent="0.2">
      <c r="B25" s="21" t="s">
        <v>439</v>
      </c>
      <c r="C25" s="24" t="s">
        <v>440</v>
      </c>
      <c r="D25" s="5">
        <v>12.5</v>
      </c>
      <c r="E25" s="25"/>
      <c r="F25" s="25"/>
      <c r="G25" s="81">
        <f>D25</f>
        <v>12.5</v>
      </c>
    </row>
    <row r="26" spans="2:7" x14ac:dyDescent="0.2">
      <c r="B26" s="83" t="s">
        <v>6</v>
      </c>
      <c r="D26" s="2"/>
      <c r="E26" s="83"/>
      <c r="F26" s="83"/>
      <c r="G26" s="87">
        <f>SUM(G11:G25)</f>
        <v>102.5</v>
      </c>
    </row>
    <row r="27" spans="2:7" x14ac:dyDescent="0.2">
      <c r="D27" s="2"/>
      <c r="E27" s="71"/>
      <c r="F27" s="71"/>
      <c r="G27" s="71"/>
    </row>
    <row r="28" spans="2:7" x14ac:dyDescent="0.2">
      <c r="D28" s="14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AC5E54-581C-0545-BE2A-FEC060D92480}">
  <dimension ref="B3:K13"/>
  <sheetViews>
    <sheetView zoomScale="206" workbookViewId="0">
      <selection activeCell="H12" sqref="H12"/>
    </sheetView>
  </sheetViews>
  <sheetFormatPr baseColWidth="10" defaultRowHeight="15" x14ac:dyDescent="0.2"/>
  <cols>
    <col min="2" max="2" width="23.6640625" customWidth="1"/>
    <col min="3" max="3" width="19.5" customWidth="1"/>
    <col min="5" max="5" width="7" customWidth="1"/>
    <col min="6" max="6" width="13.83203125" customWidth="1"/>
    <col min="9" max="9" width="22.33203125" customWidth="1"/>
    <col min="10" max="10" width="21.5" customWidth="1"/>
  </cols>
  <sheetData>
    <row r="3" spans="2:11" ht="26" x14ac:dyDescent="0.3">
      <c r="B3" s="12" t="s">
        <v>291</v>
      </c>
      <c r="C3" s="12"/>
      <c r="D3" s="14"/>
      <c r="E3" s="14"/>
      <c r="F3" s="14"/>
      <c r="G3" s="14"/>
    </row>
    <row r="5" spans="2:11" x14ac:dyDescent="0.2">
      <c r="B5" s="3" t="s">
        <v>0</v>
      </c>
      <c r="C5" s="3" t="s">
        <v>284</v>
      </c>
      <c r="D5" s="3" t="s">
        <v>285</v>
      </c>
      <c r="E5" s="3" t="s">
        <v>286</v>
      </c>
      <c r="F5" s="3" t="s">
        <v>287</v>
      </c>
      <c r="G5" s="3" t="s">
        <v>288</v>
      </c>
    </row>
    <row r="6" spans="2:11" x14ac:dyDescent="0.2">
      <c r="B6" s="20" t="s">
        <v>289</v>
      </c>
      <c r="C6" s="25" t="s">
        <v>409</v>
      </c>
      <c r="D6" s="41">
        <v>12.5</v>
      </c>
      <c r="E6" s="25"/>
      <c r="F6" s="25"/>
      <c r="G6" s="41"/>
    </row>
    <row r="7" spans="2:11" x14ac:dyDescent="0.2">
      <c r="B7" s="20"/>
      <c r="C7" s="25" t="s">
        <v>410</v>
      </c>
      <c r="D7" s="38">
        <v>5</v>
      </c>
      <c r="E7" s="25"/>
      <c r="F7" s="25"/>
      <c r="G7" s="25"/>
    </row>
    <row r="8" spans="2:11" x14ac:dyDescent="0.2">
      <c r="B8" s="20"/>
      <c r="C8" s="25"/>
      <c r="D8" s="25"/>
      <c r="E8" s="25"/>
      <c r="F8" s="25"/>
      <c r="G8" s="41">
        <f>3*(SUM(D6:D7))</f>
        <v>52.5</v>
      </c>
    </row>
    <row r="9" spans="2:11" x14ac:dyDescent="0.2">
      <c r="B9" s="19" t="s">
        <v>290</v>
      </c>
      <c r="C9" s="26" t="s">
        <v>97</v>
      </c>
      <c r="D9" s="74">
        <v>12.5</v>
      </c>
      <c r="E9" s="26"/>
      <c r="F9" s="26"/>
      <c r="G9" s="74">
        <v>12.5</v>
      </c>
    </row>
    <row r="10" spans="2:11" x14ac:dyDescent="0.2">
      <c r="B10" s="20" t="s">
        <v>468</v>
      </c>
      <c r="C10" s="25" t="s">
        <v>97</v>
      </c>
      <c r="D10" s="41">
        <v>12.5</v>
      </c>
      <c r="E10" s="25"/>
      <c r="F10" s="25"/>
      <c r="G10" s="41">
        <f>SUM(D10)</f>
        <v>12.5</v>
      </c>
    </row>
    <row r="11" spans="2:11" x14ac:dyDescent="0.2">
      <c r="B11" s="3" t="s">
        <v>6</v>
      </c>
      <c r="G11" s="80">
        <f>SUM(G8:G10)</f>
        <v>77.5</v>
      </c>
    </row>
    <row r="13" spans="2:11" x14ac:dyDescent="0.2">
      <c r="K13" s="42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21E68-BAA6-6B4E-A370-629CDC72107C}">
  <dimension ref="B5:G13"/>
  <sheetViews>
    <sheetView zoomScale="216" workbookViewId="0">
      <selection activeCell="G13" sqref="G13"/>
    </sheetView>
  </sheetViews>
  <sheetFormatPr baseColWidth="10" defaultRowHeight="15" x14ac:dyDescent="0.2"/>
  <cols>
    <col min="2" max="2" width="22.1640625" customWidth="1"/>
    <col min="3" max="3" width="18.5" customWidth="1"/>
    <col min="5" max="5" width="7.6640625" customWidth="1"/>
    <col min="6" max="6" width="13.5" customWidth="1"/>
  </cols>
  <sheetData>
    <row r="5" spans="2:7" ht="26" x14ac:dyDescent="0.3">
      <c r="B5" s="12" t="s">
        <v>35</v>
      </c>
      <c r="C5" s="12"/>
      <c r="D5" s="14"/>
      <c r="E5" s="14"/>
      <c r="F5" s="14"/>
      <c r="G5" s="14"/>
    </row>
    <row r="6" spans="2:7" x14ac:dyDescent="0.2">
      <c r="B6" s="13"/>
      <c r="C6" s="14"/>
      <c r="D6" s="14"/>
      <c r="E6" s="14"/>
      <c r="F6" s="14"/>
      <c r="G6" s="14"/>
    </row>
    <row r="7" spans="2:7" x14ac:dyDescent="0.2">
      <c r="B7" s="3" t="s">
        <v>0</v>
      </c>
      <c r="C7" s="4" t="s">
        <v>1</v>
      </c>
      <c r="D7" s="4" t="s">
        <v>2</v>
      </c>
      <c r="E7" s="4" t="s">
        <v>3</v>
      </c>
      <c r="F7" s="4" t="s">
        <v>4</v>
      </c>
      <c r="G7" s="4" t="s">
        <v>5</v>
      </c>
    </row>
    <row r="8" spans="2:7" x14ac:dyDescent="0.2">
      <c r="B8" s="20" t="s">
        <v>182</v>
      </c>
      <c r="C8" s="5" t="s">
        <v>183</v>
      </c>
      <c r="D8" s="5">
        <v>30</v>
      </c>
      <c r="E8" s="5"/>
      <c r="F8" s="5"/>
      <c r="G8" s="5">
        <v>30</v>
      </c>
    </row>
    <row r="9" spans="2:7" x14ac:dyDescent="0.2">
      <c r="B9" s="19" t="s">
        <v>216</v>
      </c>
      <c r="C9" s="6"/>
      <c r="D9" s="6"/>
      <c r="E9" s="6"/>
      <c r="F9" s="6"/>
      <c r="G9" s="6">
        <f>SUM(D10:D11)</f>
        <v>15</v>
      </c>
    </row>
    <row r="10" spans="2:7" x14ac:dyDescent="0.2">
      <c r="B10" s="19"/>
      <c r="C10" s="6" t="s">
        <v>466</v>
      </c>
      <c r="D10" s="6">
        <f>10</f>
        <v>10</v>
      </c>
      <c r="E10" s="6"/>
      <c r="F10" s="6"/>
      <c r="G10" s="6"/>
    </row>
    <row r="11" spans="2:7" x14ac:dyDescent="0.2">
      <c r="B11" s="19"/>
      <c r="C11" s="6" t="s">
        <v>467</v>
      </c>
      <c r="D11" s="6">
        <v>5</v>
      </c>
      <c r="E11" s="6"/>
      <c r="F11" s="6"/>
      <c r="G11" s="6"/>
    </row>
    <row r="12" spans="2:7" x14ac:dyDescent="0.2">
      <c r="B12" s="20" t="s">
        <v>184</v>
      </c>
      <c r="C12" s="110" t="s">
        <v>185</v>
      </c>
      <c r="D12" s="5">
        <v>20</v>
      </c>
      <c r="E12" s="5"/>
      <c r="F12" s="5"/>
      <c r="G12" s="5">
        <v>20</v>
      </c>
    </row>
    <row r="13" spans="2:7" x14ac:dyDescent="0.2">
      <c r="B13" s="3" t="s">
        <v>6</v>
      </c>
      <c r="C13" s="2"/>
      <c r="D13" s="2"/>
      <c r="E13" s="2"/>
      <c r="F13" s="2"/>
      <c r="G13" s="4">
        <f>SUM(G8:G12)</f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29</vt:i4>
      </vt:variant>
    </vt:vector>
  </HeadingPairs>
  <TitlesOfParts>
    <vt:vector size="29" baseType="lpstr">
      <vt:lpstr>Total</vt:lpstr>
      <vt:lpstr>EB</vt:lpstr>
      <vt:lpstr>AB</vt:lpstr>
      <vt:lpstr>SB</vt:lpstr>
      <vt:lpstr>Graduation</vt:lpstr>
      <vt:lpstr>Sports</vt:lpstr>
      <vt:lpstr>Party</vt:lpstr>
      <vt:lpstr>EXCO</vt:lpstr>
      <vt:lpstr>Spiritual Enlightenment</vt:lpstr>
      <vt:lpstr>Bell</vt:lpstr>
      <vt:lpstr>IRDC</vt:lpstr>
      <vt:lpstr>Garden</vt:lpstr>
      <vt:lpstr>Limburg</vt:lpstr>
      <vt:lpstr>Film</vt:lpstr>
      <vt:lpstr>Swing</vt:lpstr>
      <vt:lpstr>Charity</vt:lpstr>
      <vt:lpstr>Radio</vt:lpstr>
      <vt:lpstr>Cooking</vt:lpstr>
      <vt:lpstr>Gay</vt:lpstr>
      <vt:lpstr>Arts</vt:lpstr>
      <vt:lpstr>Games</vt:lpstr>
      <vt:lpstr>Poetry</vt:lpstr>
      <vt:lpstr>Politics</vt:lpstr>
      <vt:lpstr>Crafts</vt:lpstr>
      <vt:lpstr>Music</vt:lpstr>
      <vt:lpstr>Philosophy</vt:lpstr>
      <vt:lpstr>Book</vt:lpstr>
      <vt:lpstr>Hypatia</vt:lpstr>
      <vt:lpstr>Theater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 Gockel</dc:creator>
  <cp:lastModifiedBy>frandorwell@gmail.com</cp:lastModifiedBy>
  <dcterms:created xsi:type="dcterms:W3CDTF">2023-09-04T00:09:06Z</dcterms:created>
  <dcterms:modified xsi:type="dcterms:W3CDTF">2024-09-19T11:21:51Z</dcterms:modified>
</cp:coreProperties>
</file>