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thurDorleans 1/Library/Mobile Documents/com~apple~CloudDocs/Treasurer/Budgets/"/>
    </mc:Choice>
  </mc:AlternateContent>
  <xr:revisionPtr revIDLastSave="0" documentId="8_{2F418011-DD60-4CB0-A9A7-D47AFD8EF765}" xr6:coauthVersionLast="47" xr6:coauthVersionMax="47" xr10:uidLastSave="{00000000-0000-0000-0000-000000000000}"/>
  <bookViews>
    <workbookView xWindow="0" yWindow="500" windowWidth="14080" windowHeight="16040" xr2:uid="{F4A1ECE1-E770-4C1A-B99A-456B1F322FBD}"/>
  </bookViews>
  <sheets>
    <sheet name="Total" sheetId="3" r:id="rId1"/>
    <sheet name="EB" sheetId="1" r:id="rId2"/>
    <sheet name="AB" sheetId="15" r:id="rId3"/>
    <sheet name="SB" sheetId="21" r:id="rId4"/>
    <sheet name="Graduation" sheetId="2" r:id="rId5"/>
    <sheet name="UCSRN" sheetId="34" r:id="rId6"/>
    <sheet name="Sports" sheetId="23" r:id="rId7"/>
    <sheet name="Party" sheetId="6" r:id="rId8"/>
    <sheet name="EXCO" sheetId="27" r:id="rId9"/>
    <sheet name="Charity" sheetId="11" r:id="rId10"/>
    <sheet name="Spiritual Enlightenment" sheetId="18" r:id="rId11"/>
    <sheet name="Radio" sheetId="33" r:id="rId12"/>
    <sheet name="Cooking" sheetId="29" r:id="rId13"/>
    <sheet name="Bell" sheetId="14" r:id="rId14"/>
    <sheet name="Garden" sheetId="5" r:id="rId15"/>
    <sheet name="Film" sheetId="16" r:id="rId16"/>
    <sheet name="Limburg" sheetId="30" r:id="rId17"/>
    <sheet name="Gay" sheetId="8" r:id="rId18"/>
    <sheet name="Philosophy" sheetId="20" r:id="rId19"/>
    <sheet name="Hypatia" sheetId="32" r:id="rId20"/>
    <sheet name="Theater" sheetId="4" r:id="rId21"/>
    <sheet name="Arts" sheetId="19" r:id="rId22"/>
    <sheet name="Music" sheetId="7" r:id="rId23"/>
    <sheet name="Book" sheetId="17" r:id="rId24"/>
    <sheet name="Games" sheetId="9" r:id="rId25"/>
    <sheet name="IRDC" sheetId="12" r:id="rId26"/>
    <sheet name="Politics" sheetId="28" r:id="rId27"/>
    <sheet name="Crafts" sheetId="31" r:id="rId28"/>
    <sheet name="Poetry" sheetId="13" r:id="rId29"/>
  </sheet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2" l="1"/>
  <c r="F12" i="20"/>
  <c r="G17" i="5"/>
  <c r="F7" i="29"/>
  <c r="F23" i="27"/>
  <c r="G14" i="23"/>
  <c r="G11" i="5"/>
  <c r="G20" i="5" s="1"/>
  <c r="D13" i="34"/>
  <c r="D20" i="27"/>
  <c r="G23" i="27"/>
  <c r="D22" i="27"/>
  <c r="D23" i="27"/>
  <c r="G18" i="21"/>
  <c r="G6" i="21"/>
  <c r="D6" i="21"/>
  <c r="D7" i="15"/>
  <c r="G7" i="15"/>
  <c r="D10" i="15"/>
  <c r="G10" i="15" s="1"/>
  <c r="G15" i="28"/>
  <c r="G17" i="19"/>
  <c r="G15" i="11"/>
  <c r="G15" i="1"/>
  <c r="G16" i="1"/>
  <c r="D9" i="23"/>
  <c r="F9" i="12"/>
  <c r="D12" i="12"/>
  <c r="G12" i="34"/>
  <c r="D6" i="23"/>
  <c r="F15" i="23"/>
  <c r="D10" i="23"/>
  <c r="G10" i="9"/>
  <c r="G22" i="33"/>
  <c r="F14" i="29"/>
  <c r="F19" i="27"/>
  <c r="G20" i="27"/>
  <c r="D12" i="27"/>
  <c r="F12" i="27"/>
  <c r="F31" i="15"/>
  <c r="D25" i="15"/>
  <c r="D26" i="15"/>
  <c r="D27" i="15"/>
  <c r="D24" i="15"/>
  <c r="D9" i="15"/>
  <c r="G9" i="15" s="1"/>
  <c r="G8" i="15"/>
  <c r="G12" i="20"/>
  <c r="G7" i="30"/>
  <c r="F10" i="30"/>
  <c r="D15" i="30"/>
  <c r="F7" i="2"/>
  <c r="F15" i="16"/>
  <c r="F13" i="16"/>
  <c r="D10" i="19"/>
  <c r="D21" i="19"/>
  <c r="G13" i="34"/>
  <c r="D10" i="34"/>
  <c r="G11" i="34" s="1"/>
  <c r="D7" i="34"/>
  <c r="G7" i="34" s="1"/>
  <c r="G7" i="14"/>
  <c r="G10" i="14"/>
  <c r="G12" i="23"/>
  <c r="G10" i="23"/>
  <c r="D7" i="23"/>
  <c r="G15" i="23"/>
  <c r="G11" i="13"/>
  <c r="G12" i="13"/>
  <c r="D7" i="13"/>
  <c r="E14" i="31"/>
  <c r="E8" i="31"/>
  <c r="E5" i="31"/>
  <c r="G20" i="33"/>
  <c r="G17" i="33"/>
  <c r="G11" i="33"/>
  <c r="G8" i="33"/>
  <c r="G25" i="33" s="1"/>
  <c r="D13" i="28"/>
  <c r="F24" i="6"/>
  <c r="F13" i="6"/>
  <c r="G16" i="8"/>
  <c r="G15" i="8"/>
  <c r="G12" i="8"/>
  <c r="G10" i="8"/>
  <c r="G7" i="8"/>
  <c r="D31" i="15"/>
  <c r="G31" i="15" s="1"/>
  <c r="D30" i="15"/>
  <c r="F29" i="15"/>
  <c r="D29" i="15"/>
  <c r="D28" i="15"/>
  <c r="G28" i="15" s="1"/>
  <c r="F23" i="15"/>
  <c r="G13" i="15"/>
  <c r="G18" i="29"/>
  <c r="G17" i="29"/>
  <c r="F18" i="29"/>
  <c r="F15" i="29"/>
  <c r="G15" i="29" s="1"/>
  <c r="G14" i="29"/>
  <c r="F12" i="29"/>
  <c r="G11" i="29" s="1"/>
  <c r="G7" i="29"/>
  <c r="G7" i="11"/>
  <c r="G10" i="17"/>
  <c r="F22" i="18"/>
  <c r="F15" i="18"/>
  <c r="F12" i="18"/>
  <c r="F6" i="18"/>
  <c r="D15" i="27"/>
  <c r="G18" i="27" s="1"/>
  <c r="G11" i="21"/>
  <c r="G9" i="21"/>
  <c r="D19" i="30"/>
  <c r="G18" i="30" s="1"/>
  <c r="D11" i="30"/>
  <c r="D12" i="30"/>
  <c r="D17" i="30"/>
  <c r="G13" i="12"/>
  <c r="G9" i="12"/>
  <c r="G12" i="32"/>
  <c r="D9" i="16"/>
  <c r="D13" i="16"/>
  <c r="G13" i="16" s="1"/>
  <c r="D15" i="16"/>
  <c r="G11" i="16"/>
  <c r="F8" i="27"/>
  <c r="G9" i="27" s="1"/>
  <c r="G7" i="27"/>
  <c r="G19" i="15"/>
  <c r="G16" i="15"/>
  <c r="G11" i="15"/>
  <c r="D12" i="1"/>
  <c r="F18" i="17"/>
  <c r="G18" i="17" s="1"/>
  <c r="G21" i="17" s="1"/>
  <c r="G6" i="23"/>
  <c r="G22" i="11"/>
  <c r="B10" i="3" s="1"/>
  <c r="G19" i="8"/>
  <c r="B18" i="3" s="1"/>
  <c r="E11" i="7"/>
  <c r="D10" i="7"/>
  <c r="E8" i="7"/>
  <c r="D8" i="7"/>
  <c r="G11" i="19"/>
  <c r="G14" i="19"/>
  <c r="G21" i="21"/>
  <c r="G15" i="32"/>
  <c r="B19" i="3" s="1"/>
  <c r="B12" i="3"/>
  <c r="G13" i="14"/>
  <c r="B15" i="3" s="1"/>
  <c r="G24" i="6"/>
  <c r="F19" i="6"/>
  <c r="G19" i="6" s="1"/>
  <c r="G13" i="6"/>
  <c r="G10" i="6"/>
  <c r="G29" i="6" s="1"/>
  <c r="B8" i="3" s="1"/>
  <c r="G30" i="20"/>
  <c r="B20" i="3" s="1"/>
  <c r="G20" i="29"/>
  <c r="B14" i="3" s="1"/>
  <c r="G22" i="18"/>
  <c r="F19" i="18"/>
  <c r="G19" i="18" s="1"/>
  <c r="G15" i="18"/>
  <c r="G12" i="18"/>
  <c r="F9" i="18"/>
  <c r="G9" i="18" s="1"/>
  <c r="G6" i="18"/>
  <c r="H7" i="2"/>
  <c r="H14" i="2" s="1"/>
  <c r="B4" i="3" s="1"/>
  <c r="G14" i="34"/>
  <c r="B6" i="3" s="1"/>
  <c r="D10" i="1"/>
  <c r="G13" i="1"/>
  <c r="G13" i="27" l="1"/>
  <c r="G10" i="30"/>
  <c r="G22" i="30" s="1"/>
  <c r="B17" i="3" s="1"/>
  <c r="G23" i="15"/>
  <c r="G32" i="15"/>
  <c r="B3" i="3" s="1"/>
  <c r="G15" i="16"/>
  <c r="G18" i="16" s="1"/>
  <c r="B16" i="3" s="1"/>
  <c r="G20" i="9"/>
  <c r="B24" i="3" l="1"/>
  <c r="G13" i="13" l="1"/>
  <c r="B29" i="3" s="1"/>
  <c r="G25" i="18" l="1"/>
  <c r="B11" i="3" l="1"/>
  <c r="B25" i="3"/>
  <c r="B13" i="3" l="1"/>
  <c r="G16" i="23"/>
  <c r="B7" i="3" l="1"/>
  <c r="E18" i="31"/>
  <c r="B28" i="3" s="1"/>
  <c r="G18" i="12"/>
  <c r="B26" i="3" s="1"/>
  <c r="E14" i="7"/>
  <c r="B23" i="3" s="1"/>
  <c r="G13" i="4" l="1"/>
  <c r="B21" i="3" s="1"/>
  <c r="B27" i="3" l="1"/>
  <c r="G31" i="27" l="1"/>
  <c r="B9" i="3" s="1"/>
  <c r="G22" i="19" l="1"/>
  <c r="B22" i="3" l="1"/>
  <c r="B5" i="3"/>
  <c r="D5" i="1"/>
  <c r="G12" i="1" l="1"/>
  <c r="G10" i="1"/>
  <c r="G9" i="1"/>
  <c r="G8" i="1"/>
  <c r="G7" i="1"/>
  <c r="G6" i="1"/>
  <c r="G5" i="1"/>
  <c r="B2" i="3" l="1"/>
  <c r="B31" i="3" l="1"/>
  <c r="B32" i="3" s="1"/>
</calcChain>
</file>

<file path=xl/sharedStrings.xml><?xml version="1.0" encoding="utf-8"?>
<sst xmlns="http://schemas.openxmlformats.org/spreadsheetml/2006/main" count="813" uniqueCount="464">
  <si>
    <t>Committee</t>
  </si>
  <si>
    <t>Total Budget</t>
  </si>
  <si>
    <t>Executive Board</t>
  </si>
  <si>
    <t>Academic Board</t>
  </si>
  <si>
    <t>Graduation</t>
  </si>
  <si>
    <t>Social Board</t>
  </si>
  <si>
    <t>UCSRN</t>
  </si>
  <si>
    <t>Sports</t>
  </si>
  <si>
    <t>Party</t>
  </si>
  <si>
    <t>Exco</t>
  </si>
  <si>
    <t>Charity</t>
  </si>
  <si>
    <t>Spiritual Enl.</t>
  </si>
  <si>
    <t>Radio</t>
  </si>
  <si>
    <t>Garden</t>
  </si>
  <si>
    <t>Cooking</t>
  </si>
  <si>
    <t>Bell</t>
  </si>
  <si>
    <t>Film</t>
  </si>
  <si>
    <t xml:space="preserve">Limburg </t>
  </si>
  <si>
    <t>Gay Agenda</t>
  </si>
  <si>
    <t>Hypatia</t>
  </si>
  <si>
    <t>Philosophy</t>
  </si>
  <si>
    <t>Theatre</t>
  </si>
  <si>
    <t>Art</t>
  </si>
  <si>
    <t>Music</t>
  </si>
  <si>
    <t>Book</t>
  </si>
  <si>
    <t>Games</t>
  </si>
  <si>
    <t>IRDC</t>
  </si>
  <si>
    <t>Politics</t>
  </si>
  <si>
    <t>Crafts</t>
  </si>
  <si>
    <t>Poetry</t>
  </si>
  <si>
    <t>TOTAL</t>
  </si>
  <si>
    <t>w/o contingency</t>
  </si>
  <si>
    <t>Event</t>
  </si>
  <si>
    <t>Description</t>
  </si>
  <si>
    <t>Cost</t>
  </si>
  <si>
    <t>Tickets</t>
  </si>
  <si>
    <t>Ticket Income</t>
  </si>
  <si>
    <t>Request</t>
  </si>
  <si>
    <t>Board Bonding</t>
  </si>
  <si>
    <t>3 x €50 (determined per policy)</t>
  </si>
  <si>
    <t>Bank Fees</t>
  </si>
  <si>
    <t>Website Fees</t>
  </si>
  <si>
    <t>Board Room Supplies</t>
  </si>
  <si>
    <t>new room supplies</t>
  </si>
  <si>
    <t>Cleaning Supplies</t>
  </si>
  <si>
    <t>trash bags, mop, wipes, etc</t>
  </si>
  <si>
    <t>General Assemblies</t>
  </si>
  <si>
    <t>snacks 3 x €25</t>
  </si>
  <si>
    <t>FSE gala</t>
  </si>
  <si>
    <t>IB Tshirts</t>
  </si>
  <si>
    <t>17€ x 3</t>
  </si>
  <si>
    <t>Pins for present &amp; future graduating Universalis members</t>
  </si>
  <si>
    <t>Battle of the Faculties</t>
  </si>
  <si>
    <t>Contingency</t>
  </si>
  <si>
    <t>10% of all budget</t>
  </si>
  <si>
    <t>Total Requested Budget</t>
  </si>
  <si>
    <t xml:space="preserve">Board bonding </t>
  </si>
  <si>
    <t>As per policy (4x 50€)</t>
  </si>
  <si>
    <t>Help desk (curriculum fair)</t>
  </si>
  <si>
    <t>Snacks</t>
  </si>
  <si>
    <t>Study session with AB 2x</t>
  </si>
  <si>
    <t>Snacks (2x)</t>
  </si>
  <si>
    <t>Cookies &amp; course evaluations (2x)</t>
  </si>
  <si>
    <t>Lecture 1 (D&amp;I Collab)</t>
  </si>
  <si>
    <t>Speakers gifts (3x)</t>
  </si>
  <si>
    <t xml:space="preserve">Snacks </t>
  </si>
  <si>
    <t>Lecture 2</t>
  </si>
  <si>
    <t>Speakers gifts (2x)</t>
  </si>
  <si>
    <t>travel and accomodation for speakers</t>
  </si>
  <si>
    <t xml:space="preserve">Workshop 1 </t>
  </si>
  <si>
    <t xml:space="preserve">Life after the bubble </t>
  </si>
  <si>
    <t>Catering</t>
  </si>
  <si>
    <t>Drinks</t>
  </si>
  <si>
    <t>Speakers gifts (5x)</t>
  </si>
  <si>
    <t xml:space="preserve">travel and accomodation for speakers? </t>
  </si>
  <si>
    <t>Exchange to Freiburg</t>
  </si>
  <si>
    <t>16 x 15€</t>
  </si>
  <si>
    <t>Trip reimbursement 20 x 30€</t>
  </si>
  <si>
    <t>Mileage reimbursement total 1050km (0.23€ per km) x4 cars</t>
  </si>
  <si>
    <t>Car cleaning fee (10€ per car) x4 cars</t>
  </si>
  <si>
    <t>Driver gift (4x 10€)</t>
  </si>
  <si>
    <t>Exchange from Freiburg</t>
  </si>
  <si>
    <t>activities for ucm ppl (12)</t>
  </si>
  <si>
    <t>Academic trip to Brussels (if Freiburg falls through, 300€ will be reallocated to this event)</t>
  </si>
  <si>
    <t>Train 26€ x20ppl</t>
  </si>
  <si>
    <t>16€ x 20</t>
  </si>
  <si>
    <t>Museum 5€ x 20ppl</t>
  </si>
  <si>
    <t>Museumnacht in Maastricht</t>
  </si>
  <si>
    <t>museum fees (20 people x 20€ but tdb)</t>
  </si>
  <si>
    <t>10€ x 20</t>
  </si>
  <si>
    <t>As per policy (4x50€)</t>
  </si>
  <si>
    <t>Drink Budget</t>
  </si>
  <si>
    <t>Alcoholic drinks</t>
  </si>
  <si>
    <t>Soft Drinks</t>
  </si>
  <si>
    <t>Supplies</t>
  </si>
  <si>
    <t>Cups, plates, cutlery, paper towels</t>
  </si>
  <si>
    <t>Fund for new committee</t>
  </si>
  <si>
    <t>To be approved per committee</t>
  </si>
  <si>
    <t>Flags</t>
  </si>
  <si>
    <t xml:space="preserve">UCM/Universalis </t>
  </si>
  <si>
    <t>Meetings/events</t>
  </si>
  <si>
    <t>Other associations, committees, management</t>
  </si>
  <si>
    <t>Committee Thank You</t>
  </si>
  <si>
    <t>Pizza (30x10€)</t>
  </si>
  <si>
    <t>Beginning of Period Drinks</t>
  </si>
  <si>
    <t>Snacks (2x15€)</t>
  </si>
  <si>
    <t>Condoms</t>
  </si>
  <si>
    <t>Custom UCM condoms</t>
  </si>
  <si>
    <t>Surprise Event</t>
  </si>
  <si>
    <t>Supplies for clues</t>
  </si>
  <si>
    <t>Prize for winner</t>
  </si>
  <si>
    <t>Graduation Committee</t>
  </si>
  <si>
    <t>Luminous Contribution</t>
  </si>
  <si>
    <t xml:space="preserve">Request </t>
  </si>
  <si>
    <t xml:space="preserve">Champagne popping </t>
  </si>
  <si>
    <t>Champagne (181 x 5)</t>
  </si>
  <si>
    <t xml:space="preserve">Graduation After-Party </t>
  </si>
  <si>
    <t>200 x 17€</t>
  </si>
  <si>
    <t>Venue - LUMIERE (includes staff, security &amp; 2 drink coins per person)</t>
  </si>
  <si>
    <t>DJ</t>
  </si>
  <si>
    <t>Photographer (Remco Vaessen)</t>
  </si>
  <si>
    <t>Decorations</t>
  </si>
  <si>
    <t>Light and DJ equipment (LNSound)</t>
  </si>
  <si>
    <t>Graduation ceremony</t>
  </si>
  <si>
    <t>Tuna de Feminina and bagpipe player</t>
  </si>
  <si>
    <t>UCSRN Spotlight (21 people)</t>
  </si>
  <si>
    <t>Travel reimbursement (3x63,6€)</t>
  </si>
  <si>
    <t>UCSRN Tournament</t>
  </si>
  <si>
    <t>Travel reimbursement (15€ per person max)</t>
  </si>
  <si>
    <t>UCM t-shirts (17€ x 60)</t>
  </si>
  <si>
    <t>Try-outs location booking  (4x16€)</t>
  </si>
  <si>
    <t xml:space="preserve">UCSRN Symposium  </t>
  </si>
  <si>
    <t>travel reimbursment (15 people)</t>
  </si>
  <si>
    <t xml:space="preserve">15 x 10€ </t>
  </si>
  <si>
    <t>UCSRN GA</t>
  </si>
  <si>
    <t>Travel cost (4 x 15€)</t>
  </si>
  <si>
    <t>Football</t>
  </si>
  <si>
    <t>Pitch Agreement (14 x 30€)</t>
  </si>
  <si>
    <t>4x away games</t>
  </si>
  <si>
    <t>Basketball</t>
  </si>
  <si>
    <t>Court Agreement (15 weeks)</t>
  </si>
  <si>
    <t>Basketballs (€30 x 3)</t>
  </si>
  <si>
    <t>Volleyball</t>
  </si>
  <si>
    <t>Court Agreement (14 weeks)</t>
  </si>
  <si>
    <t>Deposit</t>
  </si>
  <si>
    <t>GoKarting (15 people)</t>
  </si>
  <si>
    <t>Monday Rate for 30 mins (€34 x 15)</t>
  </si>
  <si>
    <t>Racing License (€4 x 15)</t>
  </si>
  <si>
    <t>Bowling (18 people)</t>
  </si>
  <si>
    <t>Rate for 1hr past 6pm (€6 x 18)</t>
  </si>
  <si>
    <t xml:space="preserve">Party </t>
  </si>
  <si>
    <t>General</t>
  </si>
  <si>
    <t>Entrance tape</t>
  </si>
  <si>
    <t>Garden party</t>
  </si>
  <si>
    <t>Lights</t>
  </si>
  <si>
    <t>Photographer</t>
  </si>
  <si>
    <t xml:space="preserve">Bonnefanten </t>
  </si>
  <si>
    <t>Early: 45 x 11.5€</t>
  </si>
  <si>
    <t>night at the museum</t>
  </si>
  <si>
    <t>Venue + staff &amp; red carpet</t>
  </si>
  <si>
    <t>Regular: 90 x 17.5€</t>
  </si>
  <si>
    <t>DJ (provided by venue but have to check)</t>
  </si>
  <si>
    <t>Late: 45 x 23.5€</t>
  </si>
  <si>
    <t>Frames</t>
  </si>
  <si>
    <t>Tokens 80x</t>
  </si>
  <si>
    <t>Complex - disco</t>
  </si>
  <si>
    <t>Early: 50 x 9€</t>
  </si>
  <si>
    <t>Regular: 150 x 11.5€</t>
  </si>
  <si>
    <t>Late: 200 x 16€</t>
  </si>
  <si>
    <t>Venue</t>
  </si>
  <si>
    <t>Tokens</t>
  </si>
  <si>
    <t>Gala - D'n Hiemel</t>
  </si>
  <si>
    <t>Early: 50 x 10€</t>
  </si>
  <si>
    <t>Regular: 180 x 11.5€</t>
  </si>
  <si>
    <t>External: 90 x 14€</t>
  </si>
  <si>
    <t xml:space="preserve">EXCO </t>
  </si>
  <si>
    <t>Dead Poets Society - Outdoors Edition (collab with Poetry Committee)</t>
  </si>
  <si>
    <t xml:space="preserve"> Ticket sales</t>
  </si>
  <si>
    <t> </t>
  </si>
  <si>
    <t xml:space="preserve"> 20*3€</t>
  </si>
  <si>
    <t>COLLAB</t>
  </si>
  <si>
    <t xml:space="preserve"> Drinks and food</t>
  </si>
  <si>
    <t xml:space="preserve"> Props</t>
  </si>
  <si>
    <t>Philharmonic Concert at Theater aan het Vrijthof</t>
  </si>
  <si>
    <t xml:space="preserve"> 20*7.5€</t>
  </si>
  <si>
    <t xml:space="preserve"> Cost: 12.5€ per person</t>
  </si>
  <si>
    <t>Outdoors Adventure Collab with MSP (ex: stargazing)</t>
  </si>
  <si>
    <t xml:space="preserve"> -</t>
  </si>
  <si>
    <t>Telescope rental</t>
  </si>
  <si>
    <t>Visit Nature Reserve Groeve 't Rooth in Bemelen</t>
  </si>
  <si>
    <t xml:space="preserve"> Ticket sales 7.5€ per person cost</t>
  </si>
  <si>
    <t xml:space="preserve"> 15*5€</t>
  </si>
  <si>
    <t>Spring Hike in Belgium or Germany (EXCO + MSP 's BEAR)</t>
  </si>
  <si>
    <t>Ticket sales</t>
  </si>
  <si>
    <t xml:space="preserve"> 18*7€</t>
  </si>
  <si>
    <t>Gas: 0,23€/km * 150km * 5 cars</t>
  </si>
  <si>
    <t>Car cleaning (inside and outside): 10€ * 5 cars</t>
  </si>
  <si>
    <t>Driver gift 10€*5 cars</t>
  </si>
  <si>
    <t>Parking</t>
  </si>
  <si>
    <t xml:space="preserve">Mud Race </t>
  </si>
  <si>
    <t>10€ x 15</t>
  </si>
  <si>
    <t xml:space="preserve"> Ticket price (23.5€ pp)</t>
  </si>
  <si>
    <t xml:space="preserve">Castle weekend </t>
  </si>
  <si>
    <t xml:space="preserve">Ticket sales </t>
  </si>
  <si>
    <t>Rental (714€ already paid)</t>
  </si>
  <si>
    <t>Gas: 0,23€/km * 120km * 2 cars</t>
  </si>
  <si>
    <t xml:space="preserve"> 30*73€</t>
  </si>
  <si>
    <t>Cleaning fee 10€*2 cars</t>
  </si>
  <si>
    <t>Driver gift 10€*2 cars</t>
  </si>
  <si>
    <t>Snacks and drinks</t>
  </si>
  <si>
    <t>Props, supplies, games</t>
  </si>
  <si>
    <t xml:space="preserve">Bonfire </t>
  </si>
  <si>
    <t>Wood, fire related material</t>
  </si>
  <si>
    <t>Campfire food</t>
  </si>
  <si>
    <t>Charity Committee</t>
  </si>
  <si>
    <t>Charity Summer Fair</t>
  </si>
  <si>
    <t>Games and possible collabs</t>
  </si>
  <si>
    <t xml:space="preserve">Face Paint </t>
  </si>
  <si>
    <t>Prize (3x10)</t>
  </si>
  <si>
    <t xml:space="preserve">Music Album Launch Party </t>
  </si>
  <si>
    <t xml:space="preserve">Hot Chocolate </t>
  </si>
  <si>
    <t>Waffle Ingredients</t>
  </si>
  <si>
    <t xml:space="preserve">Bingo Night </t>
  </si>
  <si>
    <t>(Collab with Games)</t>
  </si>
  <si>
    <t>Valentine's "Love in Bloom"</t>
  </si>
  <si>
    <t>Flowers</t>
  </si>
  <si>
    <t>Cards</t>
  </si>
  <si>
    <t>Waffle Wednesday</t>
  </si>
  <si>
    <t>Ingredients (13x10€)</t>
  </si>
  <si>
    <t>Spiritual Enlightenment</t>
  </si>
  <si>
    <t>Fruit beer tasting (Feb 25th)</t>
  </si>
  <si>
    <t>20x6€</t>
  </si>
  <si>
    <t>Fruit beers</t>
  </si>
  <si>
    <t>Collab with board game committee (April 3rd)</t>
  </si>
  <si>
    <t>Light alcoholic beverages</t>
  </si>
  <si>
    <t>Wine and wonder (April 15th)</t>
  </si>
  <si>
    <t>25x7€</t>
  </si>
  <si>
    <t>Wine</t>
  </si>
  <si>
    <t>Snacks (including ice for white wine)</t>
  </si>
  <si>
    <t>Sip and Paint (April 24th)</t>
  </si>
  <si>
    <t>Wine and cocktails</t>
  </si>
  <si>
    <t>Painting materials</t>
  </si>
  <si>
    <t>Snacks (Including ice for white wine)</t>
  </si>
  <si>
    <t>Cocktail with book committee (May 8th)</t>
  </si>
  <si>
    <t>15x6€</t>
  </si>
  <si>
    <t>Cocktail ingredients</t>
  </si>
  <si>
    <t>Snacks + ice</t>
  </si>
  <si>
    <t>Picnic and Drinks (May 27th)</t>
  </si>
  <si>
    <t>30x7€</t>
  </si>
  <si>
    <t>Alcoholic beverages</t>
  </si>
  <si>
    <t xml:space="preserve">Radio Committee </t>
  </si>
  <si>
    <t>Radio.co Subscription</t>
  </si>
  <si>
    <t>Bespoke Plan</t>
  </si>
  <si>
    <t>€50.00 x 3</t>
  </si>
  <si>
    <t>Website Builder</t>
  </si>
  <si>
    <t>€12.00 x 3</t>
  </si>
  <si>
    <t>Umbrella License</t>
  </si>
  <si>
    <t>Sena</t>
  </si>
  <si>
    <t>€26.00 x 3</t>
  </si>
  <si>
    <t>BumaStemra</t>
  </si>
  <si>
    <t>€29.00 x 3</t>
  </si>
  <si>
    <t>Physical Goods</t>
  </si>
  <si>
    <t>Stickers (100 psc)</t>
  </si>
  <si>
    <t>128GB Flashdrive</t>
  </si>
  <si>
    <t>Music Jeopardy Events</t>
  </si>
  <si>
    <t>Snacks &amp; Drinks</t>
  </si>
  <si>
    <t>€12.5 x 2</t>
  </si>
  <si>
    <t>Prizes</t>
  </si>
  <si>
    <t>€10 x 2</t>
  </si>
  <si>
    <t>End-of-Year Event</t>
  </si>
  <si>
    <t>Blank CDs</t>
  </si>
  <si>
    <t>Equipment</t>
  </si>
  <si>
    <t>Headphones</t>
  </si>
  <si>
    <t>Vinyl Search Event</t>
  </si>
  <si>
    <t>Prize (Vinyl)</t>
  </si>
  <si>
    <t>Fork yeah! Cooking Committee</t>
  </si>
  <si>
    <t>Vlaai collab Limburg committee</t>
  </si>
  <si>
    <t>12 x 2€</t>
  </si>
  <si>
    <t xml:space="preserve">Groceries  </t>
  </si>
  <si>
    <t>Dinner Italian</t>
  </si>
  <si>
    <t>Groceries (to be decided)</t>
  </si>
  <si>
    <t>Collab with film committee</t>
  </si>
  <si>
    <t>17 x 2€</t>
  </si>
  <si>
    <t>Japanese Dinner</t>
  </si>
  <si>
    <t>Picnic collab Exco</t>
  </si>
  <si>
    <t>Dinner</t>
  </si>
  <si>
    <t xml:space="preserve">Kitchen supplies </t>
  </si>
  <si>
    <t>The Bell</t>
  </si>
  <si>
    <t>Spring Semester Issue</t>
  </si>
  <si>
    <t>Printing</t>
  </si>
  <si>
    <t>Launch Party</t>
  </si>
  <si>
    <t>Journalism Workshop</t>
  </si>
  <si>
    <t>Guest speaker gift (10€ per guest)</t>
  </si>
  <si>
    <t>Gardening Committee</t>
  </si>
  <si>
    <t>Planting trees</t>
  </si>
  <si>
    <t>Small fruit trees: Plum, Cherry</t>
  </si>
  <si>
    <t>Yearly Easter Egg Hunt</t>
  </si>
  <si>
    <t>Easter eggs</t>
  </si>
  <si>
    <t>Flower Workshop (Collaboration with Gay Committee)</t>
  </si>
  <si>
    <t>Flowers &amp; supplies to tie bouquets</t>
  </si>
  <si>
    <t>Seed-planting sessions, making seedlings</t>
  </si>
  <si>
    <t>bulbs, seeds, seedlings</t>
  </si>
  <si>
    <t>Tools</t>
  </si>
  <si>
    <t>Weeding Sessions</t>
  </si>
  <si>
    <t>compost &amp; soil</t>
  </si>
  <si>
    <t>Food</t>
  </si>
  <si>
    <t>Aromatic Plants</t>
  </si>
  <si>
    <t xml:space="preserve">Planting new (useful) aromatic plants </t>
  </si>
  <si>
    <t>Sign-making (Collaboration with Art Society)</t>
  </si>
  <si>
    <t>Wooden signs</t>
  </si>
  <si>
    <t>Bike trailer (for all committees)</t>
  </si>
  <si>
    <t>Film Committee</t>
  </si>
  <si>
    <t>Weekly Screenings x15</t>
  </si>
  <si>
    <t xml:space="preserve">Renting </t>
  </si>
  <si>
    <t>Lumière Expedition 1</t>
  </si>
  <si>
    <t>Movie tickets (20 x 8€); students pay 4€</t>
  </si>
  <si>
    <t>20 x 4€</t>
  </si>
  <si>
    <t>Lumière Expedition 2</t>
  </si>
  <si>
    <t>Movie Making Workshop</t>
  </si>
  <si>
    <t>Limburg Committee</t>
  </si>
  <si>
    <t>Carnaval Decorations (Crafts)</t>
  </si>
  <si>
    <t xml:space="preserve"> Supplies + Materials (colored paper, string)</t>
  </si>
  <si>
    <t xml:space="preserve"> Snacks</t>
  </si>
  <si>
    <t>Carnaval Fair/Party</t>
  </si>
  <si>
    <t>80 (x €3)</t>
  </si>
  <si>
    <t>Limburgish beer (1 x €20 + 1 x € 7)</t>
  </si>
  <si>
    <t>Nonnevotte (50 x €1,60)</t>
  </si>
  <si>
    <t>Food (Fries €100 + Sauce €10 + Potential additional fries or onions. €20)</t>
  </si>
  <si>
    <t>Quiz prizes (2 x €10 OR 4x€5)</t>
  </si>
  <si>
    <t>Budget Collaborating Committees (7 x €10)</t>
  </si>
  <si>
    <t>Schminck (€15+€15+€6+€70+€3)</t>
  </si>
  <si>
    <t>Maastricht History Lecture</t>
  </si>
  <si>
    <t>Vlaai (3 x €16,66)</t>
  </si>
  <si>
    <t>Speaker's Gift</t>
  </si>
  <si>
    <t>Charity Fair</t>
  </si>
  <si>
    <t>Limburgish-themed Charity event</t>
  </si>
  <si>
    <t>The Gay Agenda</t>
  </si>
  <si>
    <t>Ticket income</t>
  </si>
  <si>
    <t xml:space="preserve">Friendship Bracelets and </t>
  </si>
  <si>
    <t>Embroidery Night</t>
  </si>
  <si>
    <t>Movie Night</t>
  </si>
  <si>
    <t>Queer Pop Quiz Night</t>
  </si>
  <si>
    <t>Sexual Safety Workshop</t>
  </si>
  <si>
    <t>Presentation Night</t>
  </si>
  <si>
    <t>Decorating UCM for Pride</t>
  </si>
  <si>
    <t>Pride Poster Making</t>
  </si>
  <si>
    <t>Total requested budget</t>
  </si>
  <si>
    <t>Philosophy Committee</t>
  </si>
  <si>
    <t>Screening &amp; Discussion (Free Will &amp; Determinism)</t>
  </si>
  <si>
    <t>Open Discussion: On Spirituality</t>
  </si>
  <si>
    <t>Guest Gift *2</t>
  </si>
  <si>
    <t>Wine tasting I Drink Therefore I Am</t>
  </si>
  <si>
    <t>30x3€</t>
  </si>
  <si>
    <t>Snacks (incl ice)</t>
  </si>
  <si>
    <t>Philosophy Board Game (collab with GCC)</t>
  </si>
  <si>
    <t>Screening &amp; Discussion (Eastern Theme)</t>
  </si>
  <si>
    <t xml:space="preserve">Support Lecture: Philosophy of Science </t>
  </si>
  <si>
    <t>Guest Gift</t>
  </si>
  <si>
    <t>Screening &amp; Discussion (Love and Memory)</t>
  </si>
  <si>
    <t>Italian Movie Marathon (part 1)</t>
  </si>
  <si>
    <t>Italian Movie Marathon (part 2)</t>
  </si>
  <si>
    <t>Book Discussion (Feminism)</t>
  </si>
  <si>
    <t>Hypatia Committee</t>
  </si>
  <si>
    <t xml:space="preserve"> Description</t>
  </si>
  <si>
    <t xml:space="preserve"> Cost</t>
  </si>
  <si>
    <t xml:space="preserve"> Tickets</t>
  </si>
  <si>
    <t xml:space="preserve"> Ticket Income</t>
  </si>
  <si>
    <t xml:space="preserve"> Request</t>
  </si>
  <si>
    <t>Trivia night</t>
  </si>
  <si>
    <t>Prize</t>
  </si>
  <si>
    <t>Movie screening</t>
  </si>
  <si>
    <t>Movie rental</t>
  </si>
  <si>
    <t>Yoga</t>
  </si>
  <si>
    <t xml:space="preserve">Hot chocolate - Sharing circle </t>
  </si>
  <si>
    <t>Ingredients to make the drinks</t>
  </si>
  <si>
    <t>Anti-spiking cup covers distribution (100 pieces)</t>
  </si>
  <si>
    <t>100 cup covers</t>
  </si>
  <si>
    <t>Delivery fees</t>
  </si>
  <si>
    <t>Women's six nations screening</t>
  </si>
  <si>
    <t xml:space="preserve">Table Read </t>
  </si>
  <si>
    <t xml:space="preserve">The Big Play </t>
  </si>
  <si>
    <t>license and scripts</t>
  </si>
  <si>
    <t>costumes and props</t>
  </si>
  <si>
    <t>Art Committee</t>
  </si>
  <si>
    <t>Exquisite corpse</t>
  </si>
  <si>
    <t>snacks</t>
  </si>
  <si>
    <t>Gartic phone with games</t>
  </si>
  <si>
    <t>Snacks x2</t>
  </si>
  <si>
    <t>Makeup event</t>
  </si>
  <si>
    <t>Makeup materials</t>
  </si>
  <si>
    <t>Exhibition</t>
  </si>
  <si>
    <t>Supplies (tape, craft paper, etc.)</t>
  </si>
  <si>
    <t>Gay agenda collab</t>
  </si>
  <si>
    <t>Button press</t>
  </si>
  <si>
    <t>Button making materials</t>
  </si>
  <si>
    <t>Sticker paper</t>
  </si>
  <si>
    <t>Music Committee</t>
  </si>
  <si>
    <t>Open mic nights (3x)</t>
  </si>
  <si>
    <t>Snacks (3x 30€)</t>
  </si>
  <si>
    <t>Album (collab with Poetry committee)</t>
  </si>
  <si>
    <t>Music distributor</t>
  </si>
  <si>
    <t>Karaoke</t>
  </si>
  <si>
    <t>Venue (Kaleido)</t>
  </si>
  <si>
    <t>Snacks (30€)</t>
  </si>
  <si>
    <t>UCM Book Club</t>
  </si>
  <si>
    <t>Cozy reading</t>
  </si>
  <si>
    <t>Book bingo</t>
  </si>
  <si>
    <t>Politics collab</t>
  </si>
  <si>
    <t>Poetry collab</t>
  </si>
  <si>
    <t>EXCO/poetry collab</t>
  </si>
  <si>
    <t>Staff costs</t>
  </si>
  <si>
    <t>30 x 4€</t>
  </si>
  <si>
    <t>Games and Chess Committee</t>
  </si>
  <si>
    <t>x</t>
  </si>
  <si>
    <t>Werewolves 1</t>
  </si>
  <si>
    <t>2nd Game Set</t>
  </si>
  <si>
    <t>Werewolves 2</t>
  </si>
  <si>
    <t>Designing Games w/Arts and Crafts</t>
  </si>
  <si>
    <t>Arts &amp; Crafts Supplies</t>
  </si>
  <si>
    <t>Werewolves 3</t>
  </si>
  <si>
    <t>Mixed Games 1</t>
  </si>
  <si>
    <t>New Game</t>
  </si>
  <si>
    <t>Werwolves 4</t>
  </si>
  <si>
    <t>Mixed Games 2</t>
  </si>
  <si>
    <t>Smash Bros Tournament</t>
  </si>
  <si>
    <t>International Relations and Diplomacy Committee</t>
  </si>
  <si>
    <t>Eloquentia Collab: Workshop Debate</t>
  </si>
  <si>
    <t xml:space="preserve">-   € </t>
  </si>
  <si>
    <t>The Hague Government Building Trip</t>
  </si>
  <si>
    <t>15 x 6€</t>
  </si>
  <si>
    <t>Traintickets</t>
  </si>
  <si>
    <t>Tickets (6€ x 15)</t>
  </si>
  <si>
    <t>Guest Lecturer</t>
  </si>
  <si>
    <t xml:space="preserve"> -   € </t>
  </si>
  <si>
    <t>Gift</t>
  </si>
  <si>
    <t>Film Committee Collab</t>
  </si>
  <si>
    <t>Politics Committee</t>
  </si>
  <si>
    <t>Crisis Simulation (IRDC Collaboration)</t>
  </si>
  <si>
    <t>Speaker Event: Disinformation (AB Collaboration)</t>
  </si>
  <si>
    <t>Fall of the Dutch Government Discussion Event</t>
  </si>
  <si>
    <t>German Election Discussion</t>
  </si>
  <si>
    <t>Open Discussion: Political Philosophy (Philosophy Collaboration)</t>
  </si>
  <si>
    <t>Gift Speaker x2</t>
  </si>
  <si>
    <t>Discussion/Debate nights x4</t>
  </si>
  <si>
    <t>Snacks x4</t>
  </si>
  <si>
    <t>Decoration supplies</t>
  </si>
  <si>
    <t>Crafts Committee</t>
  </si>
  <si>
    <t>Bring your own crafts</t>
  </si>
  <si>
    <t>Glue and scissors</t>
  </si>
  <si>
    <t>Easter event</t>
  </si>
  <si>
    <t>Self-drying clay</t>
  </si>
  <si>
    <t xml:space="preserve">Feathers </t>
  </si>
  <si>
    <t xml:space="preserve">Googly eyes </t>
  </si>
  <si>
    <t>Pipe cleaners</t>
  </si>
  <si>
    <t>Book Committee Collab</t>
  </si>
  <si>
    <t xml:space="preserve">Customisation event (fabric painting) </t>
  </si>
  <si>
    <t>Fabric paint</t>
  </si>
  <si>
    <t>Totebags</t>
  </si>
  <si>
    <t>Poetry Committee</t>
  </si>
  <si>
    <t>Poetry Meetings</t>
  </si>
  <si>
    <t>Snacks 12.5€ x6</t>
  </si>
  <si>
    <t>Poetry Workshop</t>
  </si>
  <si>
    <t>Poetry Box Reveal Event</t>
  </si>
  <si>
    <t>Politics/Art Collab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</si>
</sst>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 &quot;€&quot;\ * #,##0.00_ ;_ &quot;€&quot;\ * \-#,##0.00_ ;_ &quot;€&quot;\ * &quot;-&quot;??_ ;_ @_ "/>
    <numFmt numFmtId="166" formatCode="_-* #,##0.00\ &quot;€&quot;_-;\-* #,##0.00\ &quot;€&quot;_-;_-* &quot;-&quot;??\ &quot;€&quot;_-;_-@"/>
    <numFmt numFmtId="167" formatCode="[$€-2]\ #,##0.00;[Red]\-[$€-2]\ #,##0.00"/>
    <numFmt numFmtId="168" formatCode="#,##0\ [$€-1];[Red]\-#,##0\ [$€-1]"/>
    <numFmt numFmtId="169" formatCode="#,##0.00\ [$€-1];[Red]\-#,##0.00\ [$€-1]"/>
    <numFmt numFmtId="170" formatCode="&quot; &quot;* #,##0.00&quot; &quot;[$€]&quot; &quot;;&quot;-&quot;* #,##0.00&quot; &quot;[$€]&quot; &quot;;&quot; &quot;* &quot;-&quot;#&quot; &quot;[$€]&quot; &quot;;&quot; &quot;@&quot; &quot;"/>
    <numFmt numFmtId="171" formatCode="#,##0.0\ [$€-1];[Red]\-#,##0.0\ [$€-1]"/>
    <numFmt numFmtId="172" formatCode="#,##0.00\ [$€-1]"/>
    <numFmt numFmtId="173" formatCode="#,##0.00\ [$€-1]_);\(#,##0.00\ [$€-1]\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ptos Narrow"/>
    </font>
    <font>
      <sz val="12"/>
      <color theme="1"/>
      <name val="Aptos Narrow"/>
    </font>
    <font>
      <sz val="12"/>
      <color theme="1"/>
      <name val="Helvetica"/>
      <family val="2"/>
    </font>
    <font>
      <b/>
      <sz val="18"/>
      <color theme="1"/>
      <name val="Calibri"/>
      <family val="2"/>
      <scheme val="minor"/>
    </font>
    <font>
      <b/>
      <u val="singleAccounting"/>
      <sz val="18"/>
      <color theme="1"/>
      <name val="Calibri (Body)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Helvetica"/>
      <family val="2"/>
    </font>
    <font>
      <b/>
      <sz val="11"/>
      <color theme="1"/>
      <name val="Calibri (Body)"/>
    </font>
    <font>
      <sz val="11"/>
      <color theme="1"/>
      <name val="Calibri (Body)"/>
    </font>
    <font>
      <b/>
      <sz val="18"/>
      <color rgb="FF000000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ptos Narrow"/>
      <family val="2"/>
    </font>
    <font>
      <sz val="12"/>
      <color rgb="FF000000"/>
      <name val="Aptos Narrow"/>
      <family val="2"/>
    </font>
    <font>
      <sz val="11"/>
      <color rgb="FF000000"/>
      <name val="Aptos Narrow"/>
      <family val="2"/>
    </font>
    <font>
      <sz val="11"/>
      <color rgb="FF000000"/>
      <name val="Calibri"/>
      <scheme val="minor"/>
    </font>
    <font>
      <sz val="12"/>
      <color rgb="FF000000"/>
      <name val="Calibri"/>
      <scheme val="minor"/>
    </font>
    <font>
      <u/>
      <sz val="12"/>
      <color rgb="FF467886"/>
      <name val="Aptos Narrow"/>
      <family val="2"/>
    </font>
    <font>
      <sz val="11"/>
      <color rgb="FFFFFFFF"/>
      <name val="Calibri"/>
      <family val="2"/>
    </font>
    <font>
      <sz val="11"/>
      <color rgb="FF000000"/>
      <name val="Calibri"/>
    </font>
    <font>
      <b/>
      <sz val="12"/>
      <color rgb="FF000000"/>
      <name val="Calibri"/>
      <scheme val="minor"/>
    </font>
    <font>
      <b/>
      <sz val="11"/>
      <color theme="1"/>
      <name val="Calibri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1"/>
      <color rgb="FF000000"/>
      <name val="Calibri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theme="8" tint="0.79998168889431442"/>
        <bgColor rgb="FFF1CEEE"/>
      </patternFill>
    </fill>
    <fill>
      <patternFill patternType="solid">
        <fgColor theme="8" tint="0.59999389629810485"/>
        <bgColor rgb="FFE49EDD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AE9F8"/>
        <bgColor rgb="FF000000"/>
      </patternFill>
    </fill>
    <fill>
      <patternFill patternType="solid">
        <fgColor rgb="FFA6C9EC"/>
        <bgColor rgb="FF000000"/>
      </patternFill>
    </fill>
    <fill>
      <patternFill patternType="solid">
        <fgColor rgb="FFDBE9F7"/>
        <bgColor rgb="FFDBE9F7"/>
      </patternFill>
    </fill>
    <fill>
      <patternFill patternType="solid">
        <fgColor rgb="FFA6C9EB"/>
        <bgColor rgb="FFA6C9EB"/>
      </patternFill>
    </fill>
    <fill>
      <patternFill patternType="solid">
        <fgColor rgb="FFDBE9F7"/>
        <bgColor rgb="FFCCFFFF"/>
      </patternFill>
    </fill>
    <fill>
      <patternFill patternType="solid">
        <fgColor rgb="FFA6C9ED"/>
        <bgColor rgb="FF000000"/>
      </patternFill>
    </fill>
    <fill>
      <patternFill patternType="solid">
        <fgColor rgb="FFDBEAF8"/>
        <bgColor rgb="FF000000"/>
      </patternFill>
    </fill>
  </fills>
  <borders count="4">
    <border>
      <left/>
      <right/>
      <top/>
      <bottom/>
      <diagonal/>
    </border>
    <border>
      <left/>
      <right style="dotted">
        <color rgb="FFBFBFBF"/>
      </right>
      <top/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/>
      <right style="thin">
        <color rgb="FFFFFFFF"/>
      </right>
      <top/>
      <bottom/>
      <diagonal/>
    </border>
  </borders>
  <cellStyleXfs count="5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0" fontId="3" fillId="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244">
    <xf numFmtId="0" fontId="0" fillId="0" borderId="0" xfId="0"/>
    <xf numFmtId="0" fontId="5" fillId="0" borderId="0" xfId="0" applyFont="1"/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164" fontId="0" fillId="2" borderId="0" xfId="0" applyNumberFormat="1" applyFill="1"/>
    <xf numFmtId="164" fontId="0" fillId="3" borderId="0" xfId="0" applyNumberFormat="1" applyFill="1"/>
    <xf numFmtId="164" fontId="6" fillId="3" borderId="0" xfId="0" applyNumberFormat="1" applyFont="1" applyFill="1"/>
    <xf numFmtId="164" fontId="6" fillId="2" borderId="0" xfId="0" applyNumberFormat="1" applyFont="1" applyFill="1"/>
    <xf numFmtId="0" fontId="4" fillId="0" borderId="0" xfId="1" applyFont="1"/>
    <xf numFmtId="0" fontId="7" fillId="0" borderId="0" xfId="1"/>
    <xf numFmtId="164" fontId="7" fillId="0" borderId="0" xfId="1" applyNumberFormat="1"/>
    <xf numFmtId="0" fontId="8" fillId="0" borderId="0" xfId="0" applyFont="1"/>
    <xf numFmtId="0" fontId="6" fillId="0" borderId="0" xfId="0" applyFont="1"/>
    <xf numFmtId="164" fontId="6" fillId="0" borderId="0" xfId="0" applyNumberFormat="1" applyFont="1"/>
    <xf numFmtId="166" fontId="6" fillId="0" borderId="0" xfId="0" applyNumberFormat="1" applyFont="1"/>
    <xf numFmtId="164" fontId="0" fillId="2" borderId="0" xfId="0" applyNumberFormat="1" applyFill="1" applyAlignment="1">
      <alignment wrapText="1"/>
    </xf>
    <xf numFmtId="0" fontId="4" fillId="3" borderId="0" xfId="0" applyFont="1" applyFill="1"/>
    <xf numFmtId="0" fontId="4" fillId="2" borderId="0" xfId="0" applyFont="1" applyFill="1"/>
    <xf numFmtId="0" fontId="9" fillId="2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ill="1"/>
    <xf numFmtId="0" fontId="0" fillId="3" borderId="0" xfId="0" applyFill="1"/>
    <xf numFmtId="0" fontId="6" fillId="3" borderId="0" xfId="0" applyFont="1" applyFill="1" applyAlignment="1">
      <alignment wrapText="1"/>
    </xf>
    <xf numFmtId="0" fontId="6" fillId="2" borderId="0" xfId="0" applyFont="1" applyFill="1"/>
    <xf numFmtId="0" fontId="11" fillId="0" borderId="0" xfId="0" applyFont="1"/>
    <xf numFmtId="0" fontId="13" fillId="0" borderId="0" xfId="0" applyFont="1"/>
    <xf numFmtId="168" fontId="0" fillId="3" borderId="0" xfId="0" applyNumberFormat="1" applyFill="1"/>
    <xf numFmtId="168" fontId="0" fillId="2" borderId="0" xfId="0" applyNumberFormat="1" applyFill="1"/>
    <xf numFmtId="0" fontId="0" fillId="2" borderId="0" xfId="0" applyFill="1" applyAlignment="1">
      <alignment wrapText="1"/>
    </xf>
    <xf numFmtId="169" fontId="0" fillId="2" borderId="0" xfId="0" applyNumberFormat="1" applyFill="1"/>
    <xf numFmtId="169" fontId="0" fillId="0" borderId="0" xfId="0" applyNumberFormat="1"/>
    <xf numFmtId="164" fontId="14" fillId="0" borderId="0" xfId="0" applyNumberFormat="1" applyFont="1"/>
    <xf numFmtId="164" fontId="15" fillId="0" borderId="0" xfId="0" applyNumberFormat="1" applyFont="1"/>
    <xf numFmtId="0" fontId="12" fillId="0" borderId="0" xfId="0" applyFont="1"/>
    <xf numFmtId="164" fontId="0" fillId="3" borderId="0" xfId="0" applyNumberFormat="1" applyFill="1" applyAlignment="1">
      <alignment wrapText="1"/>
    </xf>
    <xf numFmtId="0" fontId="9" fillId="3" borderId="0" xfId="0" applyFont="1" applyFill="1"/>
    <xf numFmtId="0" fontId="4" fillId="3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18" fillId="0" borderId="0" xfId="0" applyFont="1"/>
    <xf numFmtId="171" fontId="0" fillId="2" borderId="0" xfId="0" applyNumberFormat="1" applyFill="1"/>
    <xf numFmtId="0" fontId="10" fillId="2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167" fontId="6" fillId="2" borderId="0" xfId="0" applyNumberFormat="1" applyFont="1" applyFill="1"/>
    <xf numFmtId="167" fontId="6" fillId="3" borderId="0" xfId="0" applyNumberFormat="1" applyFont="1" applyFill="1"/>
    <xf numFmtId="0" fontId="9" fillId="0" borderId="0" xfId="0" applyFont="1"/>
    <xf numFmtId="0" fontId="2" fillId="0" borderId="0" xfId="0" applyFont="1"/>
    <xf numFmtId="0" fontId="10" fillId="2" borderId="0" xfId="0" applyFont="1" applyFill="1"/>
    <xf numFmtId="0" fontId="9" fillId="2" borderId="0" xfId="0" applyFont="1" applyFill="1"/>
    <xf numFmtId="167" fontId="9" fillId="0" borderId="0" xfId="0" applyNumberFormat="1" applyFont="1"/>
    <xf numFmtId="2" fontId="11" fillId="0" borderId="0" xfId="0" applyNumberFormat="1" applyFont="1"/>
    <xf numFmtId="172" fontId="0" fillId="2" borderId="0" xfId="2" applyNumberFormat="1" applyFont="1" applyFill="1"/>
    <xf numFmtId="172" fontId="0" fillId="3" borderId="0" xfId="2" applyNumberFormat="1" applyFont="1" applyFill="1"/>
    <xf numFmtId="172" fontId="6" fillId="2" borderId="0" xfId="2" applyNumberFormat="1" applyFont="1" applyFill="1"/>
    <xf numFmtId="172" fontId="6" fillId="3" borderId="0" xfId="2" applyNumberFormat="1" applyFont="1" applyFill="1"/>
    <xf numFmtId="172" fontId="0" fillId="0" borderId="0" xfId="2" applyNumberFormat="1" applyFont="1"/>
    <xf numFmtId="172" fontId="4" fillId="0" borderId="0" xfId="2" applyNumberFormat="1" applyFont="1"/>
    <xf numFmtId="172" fontId="7" fillId="0" borderId="0" xfId="2" applyNumberFormat="1"/>
    <xf numFmtId="172" fontId="7" fillId="0" borderId="0" xfId="2" applyNumberFormat="1" applyFont="1"/>
    <xf numFmtId="172" fontId="0" fillId="0" borderId="0" xfId="0" applyNumberFormat="1"/>
    <xf numFmtId="166" fontId="4" fillId="0" borderId="0" xfId="0" applyNumberFormat="1" applyFont="1"/>
    <xf numFmtId="166" fontId="0" fillId="7" borderId="0" xfId="0" applyNumberFormat="1" applyFill="1"/>
    <xf numFmtId="166" fontId="0" fillId="8" borderId="0" xfId="0" applyNumberFormat="1" applyFill="1" applyAlignment="1">
      <alignment vertical="top"/>
    </xf>
    <xf numFmtId="166" fontId="0" fillId="0" borderId="0" xfId="0" applyNumberFormat="1"/>
    <xf numFmtId="0" fontId="4" fillId="7" borderId="0" xfId="0" applyFont="1" applyFill="1" applyAlignment="1">
      <alignment wrapText="1"/>
    </xf>
    <xf numFmtId="0" fontId="4" fillId="8" borderId="0" xfId="0" applyFont="1" applyFill="1" applyAlignment="1">
      <alignment wrapText="1"/>
    </xf>
    <xf numFmtId="0" fontId="4" fillId="0" borderId="0" xfId="3" applyFont="1" applyFill="1"/>
    <xf numFmtId="0" fontId="19" fillId="0" borderId="0" xfId="0" applyFont="1" applyAlignment="1">
      <alignment horizontal="left"/>
    </xf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20" fillId="0" borderId="0" xfId="0" applyFont="1"/>
    <xf numFmtId="0" fontId="19" fillId="0" borderId="0" xfId="0" applyFont="1"/>
    <xf numFmtId="166" fontId="20" fillId="0" borderId="0" xfId="0" applyNumberFormat="1" applyFont="1"/>
    <xf numFmtId="166" fontId="20" fillId="0" borderId="1" xfId="0" applyNumberFormat="1" applyFont="1" applyBorder="1"/>
    <xf numFmtId="166" fontId="20" fillId="0" borderId="2" xfId="0" applyNumberFormat="1" applyFont="1" applyBorder="1" applyAlignment="1">
      <alignment horizontal="right"/>
    </xf>
    <xf numFmtId="166" fontId="20" fillId="0" borderId="2" xfId="0" applyNumberFormat="1" applyFont="1" applyBorder="1"/>
    <xf numFmtId="166" fontId="19" fillId="0" borderId="2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72" fontId="0" fillId="0" borderId="0" xfId="0" applyNumberFormat="1" applyAlignment="1">
      <alignment horizontal="center" vertical="center"/>
    </xf>
    <xf numFmtId="172" fontId="7" fillId="0" borderId="0" xfId="1" applyNumberFormat="1"/>
    <xf numFmtId="2" fontId="4" fillId="0" borderId="0" xfId="0" applyNumberFormat="1" applyFont="1"/>
    <xf numFmtId="0" fontId="16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wrapText="1"/>
    </xf>
    <xf numFmtId="170" fontId="0" fillId="0" borderId="0" xfId="0" applyNumberFormat="1"/>
    <xf numFmtId="170" fontId="21" fillId="0" borderId="0" xfId="0" applyNumberFormat="1" applyFont="1"/>
    <xf numFmtId="170" fontId="22" fillId="0" borderId="0" xfId="0" applyNumberFormat="1" applyFont="1"/>
    <xf numFmtId="170" fontId="9" fillId="0" borderId="0" xfId="0" applyNumberFormat="1" applyFont="1"/>
    <xf numFmtId="173" fontId="7" fillId="0" borderId="0" xfId="2" applyNumberFormat="1"/>
    <xf numFmtId="43" fontId="0" fillId="0" borderId="0" xfId="0" applyNumberFormat="1"/>
    <xf numFmtId="14" fontId="0" fillId="0" borderId="0" xfId="0" applyNumberFormat="1"/>
    <xf numFmtId="0" fontId="23" fillId="0" borderId="0" xfId="0" applyFont="1"/>
    <xf numFmtId="0" fontId="24" fillId="0" borderId="0" xfId="0" applyFont="1"/>
    <xf numFmtId="10" fontId="0" fillId="0" borderId="0" xfId="0" applyNumberFormat="1"/>
    <xf numFmtId="0" fontId="24" fillId="0" borderId="0" xfId="1" applyFont="1"/>
    <xf numFmtId="172" fontId="4" fillId="0" borderId="0" xfId="2" applyNumberFormat="1" applyFont="1" applyFill="1"/>
    <xf numFmtId="172" fontId="0" fillId="0" borderId="0" xfId="0" applyNumberFormat="1" applyAlignment="1">
      <alignment horizontal="right" vertical="center" wrapText="1"/>
    </xf>
    <xf numFmtId="172" fontId="20" fillId="0" borderId="0" xfId="0" applyNumberFormat="1" applyFont="1"/>
    <xf numFmtId="172" fontId="6" fillId="0" borderId="0" xfId="0" applyNumberFormat="1" applyFont="1"/>
    <xf numFmtId="0" fontId="27" fillId="10" borderId="0" xfId="0" applyFont="1" applyFill="1"/>
    <xf numFmtId="0" fontId="27" fillId="9" borderId="0" xfId="0" applyFont="1" applyFill="1"/>
    <xf numFmtId="0" fontId="27" fillId="0" borderId="0" xfId="0" applyFont="1"/>
    <xf numFmtId="0" fontId="28" fillId="0" borderId="0" xfId="0" applyFont="1"/>
    <xf numFmtId="0" fontId="24" fillId="2" borderId="0" xfId="0" applyFont="1" applyFill="1" applyAlignment="1">
      <alignment wrapText="1"/>
    </xf>
    <xf numFmtId="172" fontId="30" fillId="11" borderId="0" xfId="0" applyNumberFormat="1" applyFont="1" applyFill="1"/>
    <xf numFmtId="0" fontId="29" fillId="0" borderId="0" xfId="0" applyFont="1"/>
    <xf numFmtId="0" fontId="27" fillId="9" borderId="0" xfId="0" applyFont="1" applyFill="1" applyAlignment="1">
      <alignment wrapText="1"/>
    </xf>
    <xf numFmtId="0" fontId="27" fillId="10" borderId="0" xfId="0" applyFont="1" applyFill="1" applyAlignment="1">
      <alignment wrapText="1"/>
    </xf>
    <xf numFmtId="0" fontId="26" fillId="10" borderId="0" xfId="0" applyFont="1" applyFill="1" applyAlignment="1">
      <alignment wrapText="1"/>
    </xf>
    <xf numFmtId="0" fontId="26" fillId="9" borderId="0" xfId="0" applyFont="1" applyFill="1" applyAlignment="1">
      <alignment wrapText="1"/>
    </xf>
    <xf numFmtId="0" fontId="25" fillId="0" borderId="0" xfId="4" applyBorder="1" applyAlignment="1"/>
    <xf numFmtId="0" fontId="33" fillId="0" borderId="0" xfId="0" applyFont="1"/>
    <xf numFmtId="166" fontId="6" fillId="3" borderId="0" xfId="0" applyNumberFormat="1" applyFont="1" applyFill="1" applyAlignment="1">
      <alignment vertical="top"/>
    </xf>
    <xf numFmtId="166" fontId="0" fillId="2" borderId="0" xfId="0" applyNumberFormat="1" applyFill="1" applyAlignment="1">
      <alignment vertical="top"/>
    </xf>
    <xf numFmtId="166" fontId="6" fillId="3" borderId="0" xfId="0" applyNumberFormat="1" applyFont="1" applyFill="1" applyAlignment="1">
      <alignment vertical="top" wrapText="1"/>
    </xf>
    <xf numFmtId="166" fontId="6" fillId="2" borderId="0" xfId="0" applyNumberFormat="1" applyFont="1" applyFill="1" applyAlignment="1">
      <alignment vertical="top"/>
    </xf>
    <xf numFmtId="166" fontId="6" fillId="2" borderId="0" xfId="0" applyNumberFormat="1" applyFont="1" applyFill="1"/>
    <xf numFmtId="0" fontId="27" fillId="5" borderId="0" xfId="0" applyFont="1" applyFill="1" applyAlignment="1">
      <alignment wrapText="1"/>
    </xf>
    <xf numFmtId="0" fontId="27" fillId="6" borderId="0" xfId="0" applyFont="1" applyFill="1" applyAlignment="1">
      <alignment wrapText="1"/>
    </xf>
    <xf numFmtId="0" fontId="34" fillId="0" borderId="2" xfId="0" applyFont="1" applyBorder="1"/>
    <xf numFmtId="0" fontId="32" fillId="15" borderId="0" xfId="0" applyFont="1" applyFill="1"/>
    <xf numFmtId="0" fontId="35" fillId="2" borderId="0" xfId="0" applyFont="1" applyFill="1"/>
    <xf numFmtId="0" fontId="35" fillId="3" borderId="0" xfId="0" applyFont="1" applyFill="1"/>
    <xf numFmtId="172" fontId="27" fillId="10" borderId="0" xfId="0" applyNumberFormat="1" applyFont="1" applyFill="1"/>
    <xf numFmtId="172" fontId="27" fillId="9" borderId="0" xfId="0" applyNumberFormat="1" applyFont="1" applyFill="1"/>
    <xf numFmtId="0" fontId="26" fillId="2" borderId="0" xfId="0" applyFont="1" applyFill="1" applyAlignment="1">
      <alignment wrapText="1"/>
    </xf>
    <xf numFmtId="0" fontId="27" fillId="2" borderId="0" xfId="0" applyFont="1" applyFill="1"/>
    <xf numFmtId="172" fontId="27" fillId="2" borderId="0" xfId="0" applyNumberFormat="1" applyFont="1" applyFill="1"/>
    <xf numFmtId="0" fontId="26" fillId="3" borderId="0" xfId="0" applyFont="1" applyFill="1" applyAlignment="1">
      <alignment wrapText="1"/>
    </xf>
    <xf numFmtId="0" fontId="27" fillId="3" borderId="0" xfId="0" applyFont="1" applyFill="1"/>
    <xf numFmtId="172" fontId="27" fillId="3" borderId="0" xfId="0" applyNumberFormat="1" applyFont="1" applyFill="1"/>
    <xf numFmtId="172" fontId="30" fillId="2" borderId="0" xfId="0" applyNumberFormat="1" applyFont="1" applyFill="1"/>
    <xf numFmtId="172" fontId="30" fillId="3" borderId="0" xfId="0" applyNumberFormat="1" applyFont="1" applyFill="1"/>
    <xf numFmtId="172" fontId="27" fillId="5" borderId="1" xfId="0" applyNumberFormat="1" applyFont="1" applyFill="1" applyBorder="1"/>
    <xf numFmtId="172" fontId="27" fillId="5" borderId="2" xfId="0" applyNumberFormat="1" applyFont="1" applyFill="1" applyBorder="1"/>
    <xf numFmtId="172" fontId="27" fillId="6" borderId="1" xfId="0" applyNumberFormat="1" applyFont="1" applyFill="1" applyBorder="1"/>
    <xf numFmtId="172" fontId="27" fillId="6" borderId="2" xfId="0" applyNumberFormat="1" applyFont="1" applyFill="1" applyBorder="1"/>
    <xf numFmtId="172" fontId="32" fillId="13" borderId="0" xfId="0" applyNumberFormat="1" applyFont="1" applyFill="1"/>
    <xf numFmtId="172" fontId="31" fillId="13" borderId="0" xfId="0" applyNumberFormat="1" applyFont="1" applyFill="1"/>
    <xf numFmtId="172" fontId="32" fillId="14" borderId="0" xfId="0" applyNumberFormat="1" applyFont="1" applyFill="1"/>
    <xf numFmtId="172" fontId="31" fillId="14" borderId="0" xfId="0" applyNumberFormat="1" applyFont="1" applyFill="1"/>
    <xf numFmtId="0" fontId="26" fillId="5" borderId="0" xfId="0" applyFont="1" applyFill="1" applyAlignment="1">
      <alignment wrapText="1"/>
    </xf>
    <xf numFmtId="0" fontId="26" fillId="6" borderId="0" xfId="0" applyFont="1" applyFill="1" applyAlignment="1">
      <alignment wrapText="1"/>
    </xf>
    <xf numFmtId="0" fontId="27" fillId="3" borderId="0" xfId="0" applyFont="1" applyFill="1" applyAlignment="1">
      <alignment wrapText="1"/>
    </xf>
    <xf numFmtId="0" fontId="27" fillId="2" borderId="0" xfId="0" applyFont="1" applyFill="1" applyAlignment="1">
      <alignment wrapText="1"/>
    </xf>
    <xf numFmtId="172" fontId="32" fillId="15" borderId="0" xfId="0" applyNumberFormat="1" applyFont="1" applyFill="1"/>
    <xf numFmtId="172" fontId="35" fillId="2" borderId="0" xfId="0" applyNumberFormat="1" applyFont="1" applyFill="1"/>
    <xf numFmtId="172" fontId="35" fillId="2" borderId="3" xfId="0" quotePrefix="1" applyNumberFormat="1" applyFont="1" applyFill="1" applyBorder="1"/>
    <xf numFmtId="172" fontId="35" fillId="2" borderId="3" xfId="0" applyNumberFormat="1" applyFont="1" applyFill="1" applyBorder="1"/>
    <xf numFmtId="172" fontId="35" fillId="3" borderId="0" xfId="0" applyNumberFormat="1" applyFont="1" applyFill="1"/>
    <xf numFmtId="172" fontId="35" fillId="3" borderId="3" xfId="0" applyNumberFormat="1" applyFont="1" applyFill="1" applyBorder="1"/>
    <xf numFmtId="0" fontId="26" fillId="0" borderId="0" xfId="0" applyFont="1"/>
    <xf numFmtId="172" fontId="0" fillId="0" borderId="0" xfId="0" applyNumberFormat="1" applyAlignment="1">
      <alignment wrapText="1"/>
    </xf>
    <xf numFmtId="0" fontId="24" fillId="13" borderId="0" xfId="0" applyFont="1" applyFill="1" applyAlignment="1">
      <alignment wrapText="1"/>
    </xf>
    <xf numFmtId="0" fontId="36" fillId="13" borderId="0" xfId="0" applyFont="1" applyFill="1"/>
    <xf numFmtId="0" fontId="24" fillId="14" borderId="0" xfId="0" applyFont="1" applyFill="1" applyAlignment="1">
      <alignment wrapText="1"/>
    </xf>
    <xf numFmtId="0" fontId="36" fillId="14" borderId="0" xfId="0" applyFont="1" applyFill="1"/>
    <xf numFmtId="0" fontId="24" fillId="13" borderId="0" xfId="0" applyFont="1" applyFill="1"/>
    <xf numFmtId="0" fontId="24" fillId="14" borderId="0" xfId="0" applyFont="1" applyFill="1"/>
    <xf numFmtId="172" fontId="9" fillId="2" borderId="0" xfId="0" applyNumberFormat="1" applyFont="1" applyFill="1" applyAlignment="1">
      <alignment wrapText="1"/>
    </xf>
    <xf numFmtId="172" fontId="27" fillId="2" borderId="1" xfId="0" applyNumberFormat="1" applyFont="1" applyFill="1" applyBorder="1"/>
    <xf numFmtId="172" fontId="27" fillId="2" borderId="2" xfId="0" applyNumberFormat="1" applyFont="1" applyFill="1" applyBorder="1"/>
    <xf numFmtId="0" fontId="36" fillId="12" borderId="0" xfId="0" applyFont="1" applyFill="1"/>
    <xf numFmtId="0" fontId="32" fillId="12" borderId="0" xfId="0" applyFont="1" applyFill="1"/>
    <xf numFmtId="172" fontId="32" fillId="12" borderId="0" xfId="0" applyNumberFormat="1" applyFont="1" applyFill="1"/>
    <xf numFmtId="0" fontId="24" fillId="2" borderId="0" xfId="0" applyFont="1" applyFill="1"/>
    <xf numFmtId="0" fontId="31" fillId="2" borderId="0" xfId="0" applyFont="1" applyFill="1"/>
    <xf numFmtId="172" fontId="31" fillId="2" borderId="0" xfId="0" applyNumberFormat="1" applyFont="1" applyFill="1"/>
    <xf numFmtId="0" fontId="37" fillId="0" borderId="0" xfId="0" applyFont="1"/>
    <xf numFmtId="164" fontId="37" fillId="0" borderId="0" xfId="0" applyNumberFormat="1" applyFont="1"/>
    <xf numFmtId="172" fontId="11" fillId="0" borderId="0" xfId="0" applyNumberFormat="1" applyFont="1"/>
    <xf numFmtId="0" fontId="24" fillId="11" borderId="0" xfId="0" applyFont="1" applyFill="1" applyAlignment="1">
      <alignment wrapText="1"/>
    </xf>
    <xf numFmtId="0" fontId="31" fillId="11" borderId="0" xfId="0" applyFont="1" applyFill="1"/>
    <xf numFmtId="0" fontId="24" fillId="12" borderId="0" xfId="0" applyFont="1" applyFill="1" applyAlignment="1">
      <alignment wrapText="1"/>
    </xf>
    <xf numFmtId="0" fontId="31" fillId="12" borderId="0" xfId="0" applyFont="1" applyFill="1"/>
    <xf numFmtId="0" fontId="24" fillId="11" borderId="0" xfId="0" applyFont="1" applyFill="1"/>
    <xf numFmtId="0" fontId="24" fillId="3" borderId="0" xfId="0" applyFont="1" applyFill="1"/>
    <xf numFmtId="0" fontId="31" fillId="3" borderId="0" xfId="0" applyFont="1" applyFill="1"/>
    <xf numFmtId="0" fontId="32" fillId="2" borderId="0" xfId="0" applyFont="1" applyFill="1"/>
    <xf numFmtId="172" fontId="32" fillId="2" borderId="0" xfId="0" applyNumberFormat="1" applyFont="1" applyFill="1"/>
    <xf numFmtId="172" fontId="32" fillId="2" borderId="0" xfId="0" quotePrefix="1" applyNumberFormat="1" applyFont="1" applyFill="1"/>
    <xf numFmtId="0" fontId="32" fillId="3" borderId="0" xfId="0" applyFont="1" applyFill="1"/>
    <xf numFmtId="172" fontId="32" fillId="3" borderId="0" xfId="0" applyNumberFormat="1" applyFont="1" applyFill="1"/>
    <xf numFmtId="172" fontId="32" fillId="3" borderId="0" xfId="0" quotePrefix="1" applyNumberFormat="1" applyFont="1" applyFill="1"/>
    <xf numFmtId="172" fontId="31" fillId="3" borderId="0" xfId="0" applyNumberFormat="1" applyFont="1" applyFill="1"/>
    <xf numFmtId="0" fontId="36" fillId="2" borderId="0" xfId="0" applyFont="1" applyFill="1" applyAlignment="1">
      <alignment wrapText="1"/>
    </xf>
    <xf numFmtId="0" fontId="36" fillId="2" borderId="0" xfId="0" applyFont="1" applyFill="1"/>
    <xf numFmtId="0" fontId="36" fillId="3" borderId="0" xfId="0" applyFont="1" applyFill="1"/>
    <xf numFmtId="0" fontId="38" fillId="13" borderId="0" xfId="0" applyFont="1" applyFill="1" applyAlignment="1">
      <alignment wrapText="1"/>
    </xf>
    <xf numFmtId="172" fontId="38" fillId="13" borderId="0" xfId="0" applyNumberFormat="1" applyFont="1" applyFill="1"/>
    <xf numFmtId="0" fontId="31" fillId="13" borderId="0" xfId="0" applyFont="1" applyFill="1" applyAlignment="1">
      <alignment wrapText="1"/>
    </xf>
    <xf numFmtId="0" fontId="39" fillId="13" borderId="0" xfId="0" applyFont="1" applyFill="1" applyAlignment="1">
      <alignment wrapText="1"/>
    </xf>
    <xf numFmtId="0" fontId="36" fillId="11" borderId="0" xfId="0" applyFont="1" applyFill="1"/>
    <xf numFmtId="0" fontId="32" fillId="11" borderId="0" xfId="0" applyFont="1" applyFill="1"/>
    <xf numFmtId="172" fontId="32" fillId="11" borderId="0" xfId="0" applyNumberFormat="1" applyFont="1" applyFill="1"/>
    <xf numFmtId="172" fontId="31" fillId="11" borderId="0" xfId="0" applyNumberFormat="1" applyFont="1" applyFill="1"/>
    <xf numFmtId="172" fontId="31" fillId="12" borderId="0" xfId="0" applyNumberFormat="1" applyFont="1" applyFill="1"/>
    <xf numFmtId="0" fontId="36" fillId="3" borderId="0" xfId="0" applyFont="1" applyFill="1" applyAlignment="1">
      <alignment wrapText="1"/>
    </xf>
    <xf numFmtId="0" fontId="24" fillId="3" borderId="0" xfId="0" applyFont="1" applyFill="1" applyAlignment="1">
      <alignment wrapText="1"/>
    </xf>
    <xf numFmtId="169" fontId="37" fillId="0" borderId="0" xfId="0" applyNumberFormat="1" applyFont="1"/>
    <xf numFmtId="0" fontId="32" fillId="2" borderId="0" xfId="0" applyFont="1" applyFill="1" applyAlignment="1">
      <alignment wrapText="1"/>
    </xf>
    <xf numFmtId="0" fontId="32" fillId="3" borderId="0" xfId="0" applyFont="1" applyFill="1" applyAlignment="1">
      <alignment wrapText="1"/>
    </xf>
    <xf numFmtId="0" fontId="31" fillId="2" borderId="0" xfId="0" applyFont="1" applyFill="1" applyAlignment="1">
      <alignment wrapText="1"/>
    </xf>
    <xf numFmtId="0" fontId="31" fillId="11" borderId="0" xfId="0" applyFont="1" applyFill="1" applyAlignment="1">
      <alignment wrapText="1"/>
    </xf>
    <xf numFmtId="0" fontId="37" fillId="2" borderId="0" xfId="0" applyFont="1" applyFill="1" applyAlignment="1">
      <alignment wrapText="1"/>
    </xf>
    <xf numFmtId="0" fontId="32" fillId="12" borderId="0" xfId="0" applyFont="1" applyFill="1" applyAlignment="1">
      <alignment wrapText="1"/>
    </xf>
    <xf numFmtId="0" fontId="36" fillId="11" borderId="0" xfId="0" applyFont="1" applyFill="1" applyAlignment="1">
      <alignment wrapText="1"/>
    </xf>
    <xf numFmtId="0" fontId="32" fillId="11" borderId="0" xfId="0" applyFont="1" applyFill="1" applyAlignment="1">
      <alignment wrapText="1"/>
    </xf>
    <xf numFmtId="172" fontId="32" fillId="11" borderId="0" xfId="0" quotePrefix="1" applyNumberFormat="1" applyFont="1" applyFill="1"/>
    <xf numFmtId="0" fontId="36" fillId="16" borderId="0" xfId="0" applyFont="1" applyFill="1" applyAlignment="1">
      <alignment wrapText="1"/>
    </xf>
    <xf numFmtId="0" fontId="32" fillId="16" borderId="0" xfId="0" applyFont="1" applyFill="1" applyAlignment="1">
      <alignment wrapText="1"/>
    </xf>
    <xf numFmtId="172" fontId="32" fillId="16" borderId="0" xfId="0" applyNumberFormat="1" applyFont="1" applyFill="1"/>
    <xf numFmtId="0" fontId="36" fillId="17" borderId="0" xfId="0" applyFont="1" applyFill="1" applyAlignment="1">
      <alignment wrapText="1"/>
    </xf>
    <xf numFmtId="0" fontId="32" fillId="17" borderId="0" xfId="0" applyFont="1" applyFill="1" applyAlignment="1">
      <alignment wrapText="1"/>
    </xf>
    <xf numFmtId="172" fontId="32" fillId="17" borderId="0" xfId="0" applyNumberFormat="1" applyFont="1" applyFill="1"/>
    <xf numFmtId="172" fontId="32" fillId="17" borderId="0" xfId="0" quotePrefix="1" applyNumberFormat="1" applyFont="1" applyFill="1"/>
    <xf numFmtId="172" fontId="32" fillId="16" borderId="0" xfId="0" quotePrefix="1" applyNumberFormat="1" applyFont="1" applyFill="1"/>
    <xf numFmtId="172" fontId="0" fillId="2" borderId="0" xfId="0" applyNumberFormat="1" applyFill="1"/>
    <xf numFmtId="0" fontId="36" fillId="15" borderId="0" xfId="0" applyFont="1" applyFill="1"/>
    <xf numFmtId="0" fontId="36" fillId="15" borderId="0" xfId="0" applyFont="1" applyFill="1" applyAlignment="1">
      <alignment wrapText="1"/>
    </xf>
    <xf numFmtId="0" fontId="40" fillId="2" borderId="0" xfId="0" applyFont="1" applyFill="1"/>
    <xf numFmtId="0" fontId="40" fillId="3" borderId="0" xfId="0" applyFont="1" applyFill="1"/>
    <xf numFmtId="0" fontId="31" fillId="3" borderId="0" xfId="0" applyFont="1" applyFill="1" applyAlignment="1">
      <alignment wrapText="1"/>
    </xf>
    <xf numFmtId="0" fontId="26" fillId="0" borderId="0" xfId="0" applyFont="1" applyAlignment="1">
      <alignment wrapText="1"/>
    </xf>
    <xf numFmtId="172" fontId="27" fillId="0" borderId="0" xfId="0" applyNumberFormat="1" applyFont="1"/>
    <xf numFmtId="172" fontId="27" fillId="3" borderId="1" xfId="0" applyNumberFormat="1" applyFont="1" applyFill="1" applyBorder="1"/>
    <xf numFmtId="172" fontId="27" fillId="3" borderId="2" xfId="0" applyNumberFormat="1" applyFont="1" applyFill="1" applyBorder="1"/>
    <xf numFmtId="0" fontId="34" fillId="2" borderId="0" xfId="0" applyFont="1" applyFill="1" applyAlignment="1">
      <alignment wrapText="1"/>
    </xf>
    <xf numFmtId="172" fontId="34" fillId="2" borderId="1" xfId="0" applyNumberFormat="1" applyFont="1" applyFill="1" applyBorder="1"/>
    <xf numFmtId="172" fontId="34" fillId="2" borderId="2" xfId="0" applyNumberFormat="1" applyFont="1" applyFill="1" applyBorder="1"/>
    <xf numFmtId="0" fontId="24" fillId="10" borderId="0" xfId="0" applyFont="1" applyFill="1" applyAlignment="1">
      <alignment wrapText="1"/>
    </xf>
    <xf numFmtId="0" fontId="31" fillId="10" borderId="0" xfId="0" applyFont="1" applyFill="1" applyAlignment="1">
      <alignment wrapText="1"/>
    </xf>
    <xf numFmtId="172" fontId="31" fillId="10" borderId="0" xfId="0" applyNumberFormat="1" applyFont="1" applyFill="1"/>
    <xf numFmtId="0" fontId="26" fillId="3" borderId="0" xfId="0" applyFont="1" applyFill="1"/>
    <xf numFmtId="0" fontId="0" fillId="0" borderId="0" xfId="0" applyAlignment="1">
      <alignment horizontal="center" wrapText="1"/>
    </xf>
    <xf numFmtId="3" fontId="0" fillId="0" borderId="0" xfId="0" applyNumberFormat="1"/>
    <xf numFmtId="4" fontId="0" fillId="0" borderId="0" xfId="0" applyNumberFormat="1"/>
    <xf numFmtId="0" fontId="39" fillId="3" borderId="0" xfId="0" applyFont="1" applyFill="1" applyAlignment="1">
      <alignment wrapText="1"/>
    </xf>
    <xf numFmtId="0" fontId="38" fillId="3" borderId="0" xfId="0" applyFont="1" applyFill="1" applyAlignment="1">
      <alignment wrapText="1"/>
    </xf>
    <xf numFmtId="172" fontId="38" fillId="3" borderId="0" xfId="0" applyNumberFormat="1" applyFont="1" applyFill="1"/>
    <xf numFmtId="164" fontId="1" fillId="0" borderId="0" xfId="0" applyNumberFormat="1" applyFont="1"/>
    <xf numFmtId="0" fontId="1" fillId="0" borderId="0" xfId="0" applyFont="1"/>
  </cellXfs>
  <cellStyles count="5">
    <cellStyle name="40% - Accent5" xfId="3" builtinId="47"/>
    <cellStyle name="Currency" xfId="2" builtinId="4"/>
    <cellStyle name="Hyperlink" xfId="4" builtinId="8"/>
    <cellStyle name="Normal" xfId="0" builtinId="0"/>
    <cellStyle name="Normal 2" xfId="1" xr:uid="{DFEE5CCB-DE55-534C-94B2-EC1041653570}"/>
  </cellStyles>
  <dxfs count="0"/>
  <tableStyles count="0" defaultTableStyle="TableStyleMedium2" defaultPivotStyle="PivotStyleLight16"/>
  <colors>
    <mruColors>
      <color rgb="FFC1CBE4"/>
      <color rgb="FFDBE3FF"/>
      <color rgb="FFD0D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21E7-8E2B-754B-B7D4-B9C3574ED7C2}">
  <sheetPr>
    <tabColor rgb="FFC00000"/>
  </sheetPr>
  <dimension ref="A1:J45"/>
  <sheetViews>
    <sheetView tabSelected="1" zoomScale="89" workbookViewId="0">
      <selection activeCell="E39" sqref="E39"/>
    </sheetView>
  </sheetViews>
  <sheetFormatPr defaultColWidth="11.42578125" defaultRowHeight="15"/>
  <cols>
    <col min="1" max="1" width="15" customWidth="1"/>
    <col min="2" max="2" width="13.42578125" customWidth="1"/>
    <col min="3" max="3" width="12.85546875" customWidth="1"/>
    <col min="4" max="4" width="13" customWidth="1"/>
  </cols>
  <sheetData>
    <row r="1" spans="1:10">
      <c r="A1" s="9" t="s">
        <v>0</v>
      </c>
      <c r="B1" s="9" t="s">
        <v>1</v>
      </c>
      <c r="C1" s="9"/>
      <c r="D1" s="96"/>
      <c r="E1" s="10"/>
      <c r="F1" s="10"/>
      <c r="G1" s="10"/>
      <c r="H1" s="10"/>
      <c r="I1" s="10"/>
      <c r="J1" s="10"/>
    </row>
    <row r="2" spans="1:10">
      <c r="A2" s="10" t="s">
        <v>2</v>
      </c>
      <c r="B2" s="59">
        <f>EB!G16</f>
        <v>5829.82</v>
      </c>
      <c r="C2" s="90"/>
      <c r="D2" s="81"/>
      <c r="E2" s="10"/>
      <c r="F2" s="10"/>
      <c r="G2" s="10"/>
      <c r="H2" s="11"/>
      <c r="I2" s="11"/>
      <c r="J2" s="11"/>
    </row>
    <row r="3" spans="1:10">
      <c r="A3" s="10" t="s">
        <v>3</v>
      </c>
      <c r="B3" s="58">
        <f>AB!G32</f>
        <v>3419</v>
      </c>
      <c r="C3" s="90"/>
      <c r="D3" s="81"/>
      <c r="E3" s="10"/>
      <c r="F3" s="10"/>
      <c r="G3" s="10"/>
      <c r="H3" s="11"/>
      <c r="I3" s="11"/>
      <c r="J3" s="11"/>
    </row>
    <row r="4" spans="1:10">
      <c r="A4" s="10" t="s">
        <v>4</v>
      </c>
      <c r="B4" s="58">
        <f>Graduation!H14</f>
        <v>3320</v>
      </c>
      <c r="C4" s="90"/>
      <c r="D4" s="81"/>
      <c r="E4" s="10"/>
      <c r="F4" s="10"/>
      <c r="G4" s="10"/>
      <c r="H4" s="11"/>
      <c r="I4" s="11"/>
      <c r="J4" s="11"/>
    </row>
    <row r="5" spans="1:10">
      <c r="A5" s="10" t="s">
        <v>5</v>
      </c>
      <c r="B5" s="58">
        <f>SB!G21</f>
        <v>2730</v>
      </c>
      <c r="C5" s="90"/>
      <c r="D5" s="81"/>
      <c r="E5" s="10"/>
      <c r="F5" s="11"/>
      <c r="G5" s="10"/>
      <c r="H5" s="10"/>
      <c r="I5" s="11"/>
      <c r="J5" s="10"/>
    </row>
    <row r="6" spans="1:10">
      <c r="A6" s="10" t="s">
        <v>6</v>
      </c>
      <c r="B6" s="58">
        <f>UCSRN!G14</f>
        <v>2484.8000000000002</v>
      </c>
      <c r="C6" s="90"/>
      <c r="D6" s="81"/>
      <c r="E6" s="10"/>
      <c r="F6" s="11"/>
      <c r="G6" s="10"/>
      <c r="H6" s="10"/>
      <c r="I6" s="10"/>
      <c r="J6" s="11"/>
    </row>
    <row r="7" spans="1:10">
      <c r="A7" s="10" t="s">
        <v>7</v>
      </c>
      <c r="B7" s="58">
        <f>Sports!G16</f>
        <v>2344</v>
      </c>
      <c r="C7" s="90"/>
      <c r="D7" s="81"/>
      <c r="E7" s="10"/>
      <c r="F7" s="11"/>
      <c r="G7" s="10"/>
      <c r="H7" s="10"/>
      <c r="I7" s="10"/>
      <c r="J7" s="10"/>
    </row>
    <row r="8" spans="1:10">
      <c r="A8" s="10" t="s">
        <v>8</v>
      </c>
      <c r="B8" s="58">
        <f>Party!G29</f>
        <v>1570.83</v>
      </c>
      <c r="C8" s="90"/>
      <c r="D8" s="81"/>
      <c r="E8" s="10"/>
      <c r="F8" s="11"/>
      <c r="G8" s="10"/>
      <c r="H8" s="10"/>
      <c r="I8" s="10"/>
      <c r="J8" s="10"/>
    </row>
    <row r="9" spans="1:10">
      <c r="A9" s="10" t="s">
        <v>9</v>
      </c>
      <c r="B9" s="58">
        <f>EXCO!G31</f>
        <v>927.5</v>
      </c>
      <c r="C9" s="90"/>
      <c r="D9" s="81"/>
      <c r="E9" s="10"/>
      <c r="F9" s="11"/>
      <c r="G9" s="10"/>
      <c r="H9" s="10"/>
      <c r="I9" s="10"/>
      <c r="J9" s="10"/>
    </row>
    <row r="10" spans="1:10">
      <c r="A10" s="10" t="s">
        <v>10</v>
      </c>
      <c r="B10" s="58">
        <f>Charity!G22</f>
        <v>882.5</v>
      </c>
      <c r="C10" s="90"/>
      <c r="D10" s="81"/>
      <c r="E10" s="10"/>
      <c r="F10" s="11"/>
      <c r="G10" s="10"/>
      <c r="H10" s="10"/>
      <c r="J10" s="10"/>
    </row>
    <row r="11" spans="1:10">
      <c r="A11" s="10" t="s">
        <v>11</v>
      </c>
      <c r="B11" s="58">
        <f>'Spiritual Enlightenment'!G25</f>
        <v>755</v>
      </c>
      <c r="C11" s="90"/>
      <c r="D11" s="81"/>
      <c r="E11" s="10"/>
      <c r="F11" s="11"/>
      <c r="G11" s="10"/>
      <c r="H11" s="10"/>
      <c r="I11" s="10"/>
      <c r="J11" s="10"/>
    </row>
    <row r="12" spans="1:10">
      <c r="A12" s="10" t="s">
        <v>12</v>
      </c>
      <c r="B12" s="58">
        <f>Radio!G25</f>
        <v>618.5</v>
      </c>
      <c r="C12" s="90"/>
      <c r="D12" s="81"/>
      <c r="E12" s="10"/>
      <c r="F12" s="11"/>
      <c r="G12" s="10"/>
      <c r="H12" s="10"/>
      <c r="I12" s="10"/>
      <c r="J12" s="10"/>
    </row>
    <row r="13" spans="1:10">
      <c r="A13" s="10" t="s">
        <v>13</v>
      </c>
      <c r="B13" s="58">
        <f>Garden!G20</f>
        <v>502.5</v>
      </c>
      <c r="C13" s="90"/>
      <c r="D13" s="81"/>
      <c r="E13" s="10"/>
      <c r="F13" s="11"/>
      <c r="G13" s="10"/>
      <c r="H13" s="10"/>
      <c r="I13" s="10"/>
      <c r="J13" s="10"/>
    </row>
    <row r="14" spans="1:10">
      <c r="A14" s="10" t="s">
        <v>14</v>
      </c>
      <c r="B14" s="58">
        <f>Cooking!G20</f>
        <v>480</v>
      </c>
      <c r="C14" s="90"/>
      <c r="D14" s="81"/>
      <c r="E14" s="10"/>
      <c r="F14" s="11"/>
      <c r="G14" s="10"/>
      <c r="H14" s="10"/>
      <c r="I14" s="10"/>
      <c r="J14" s="10"/>
    </row>
    <row r="15" spans="1:10">
      <c r="A15" s="10" t="s">
        <v>15</v>
      </c>
      <c r="B15" s="58">
        <f>Bell!G13</f>
        <v>425</v>
      </c>
      <c r="C15" s="90"/>
      <c r="D15" s="81"/>
      <c r="E15" s="10"/>
      <c r="F15" s="11"/>
      <c r="G15" s="10"/>
      <c r="H15" s="10"/>
      <c r="I15" s="10"/>
      <c r="J15" s="10"/>
    </row>
    <row r="16" spans="1:10">
      <c r="A16" s="10" t="s">
        <v>16</v>
      </c>
      <c r="B16" s="58">
        <f>Film!G18</f>
        <v>380</v>
      </c>
      <c r="C16" s="90"/>
      <c r="D16" s="81"/>
      <c r="E16" s="10"/>
      <c r="F16" s="11"/>
      <c r="G16" s="10"/>
      <c r="H16" s="10"/>
      <c r="I16" s="10"/>
      <c r="J16" s="10"/>
    </row>
    <row r="17" spans="1:10">
      <c r="A17" s="10" t="s">
        <v>17</v>
      </c>
      <c r="B17" s="58">
        <f>Limburg!G22</f>
        <v>368.48</v>
      </c>
      <c r="C17" s="90"/>
      <c r="D17" s="81"/>
      <c r="E17" s="10"/>
      <c r="F17" s="11"/>
      <c r="G17" s="10"/>
      <c r="H17" s="10"/>
      <c r="I17" s="10"/>
      <c r="J17" s="10"/>
    </row>
    <row r="18" spans="1:10">
      <c r="A18" s="10" t="s">
        <v>18</v>
      </c>
      <c r="B18" s="58">
        <f>Gay!G19</f>
        <v>310</v>
      </c>
      <c r="C18" s="90"/>
      <c r="D18" s="81"/>
      <c r="E18" s="10"/>
      <c r="F18" s="11"/>
      <c r="G18" s="10"/>
      <c r="H18" s="10"/>
      <c r="I18" s="10"/>
      <c r="J18" s="10"/>
    </row>
    <row r="19" spans="1:10">
      <c r="A19" s="10" t="s">
        <v>19</v>
      </c>
      <c r="B19" s="58">
        <f>Hypatia!G15</f>
        <v>260.5</v>
      </c>
      <c r="C19" s="90"/>
      <c r="D19" s="81"/>
      <c r="E19" s="10"/>
      <c r="F19" s="11"/>
      <c r="G19" s="10"/>
      <c r="H19" s="10"/>
      <c r="I19" s="10"/>
      <c r="J19" s="10"/>
    </row>
    <row r="20" spans="1:10">
      <c r="A20" s="10" t="s">
        <v>20</v>
      </c>
      <c r="B20" s="58">
        <f>Philosophy!G30</f>
        <v>257.5</v>
      </c>
      <c r="C20" s="90"/>
      <c r="D20" s="81"/>
      <c r="E20" s="10"/>
      <c r="F20" s="11"/>
      <c r="G20" s="10"/>
      <c r="H20" s="10"/>
      <c r="I20" s="10"/>
      <c r="J20" s="10"/>
    </row>
    <row r="21" spans="1:10">
      <c r="A21" s="10" t="s">
        <v>21</v>
      </c>
      <c r="B21" s="58">
        <f>Theater!G13</f>
        <v>242.5</v>
      </c>
      <c r="C21" s="90"/>
      <c r="D21" s="81"/>
      <c r="E21" s="10"/>
      <c r="F21" s="11"/>
      <c r="G21" s="10"/>
      <c r="H21" s="10"/>
      <c r="I21" s="10"/>
      <c r="J21" s="10"/>
    </row>
    <row r="22" spans="1:10">
      <c r="A22" s="10" t="s">
        <v>22</v>
      </c>
      <c r="B22" s="58">
        <f>Arts!G22</f>
        <v>240</v>
      </c>
      <c r="C22" s="90"/>
      <c r="D22" s="81"/>
      <c r="E22" s="10"/>
      <c r="F22" s="11"/>
      <c r="G22" s="10"/>
      <c r="H22" s="10"/>
      <c r="I22" s="10"/>
      <c r="J22" s="10"/>
    </row>
    <row r="23" spans="1:10">
      <c r="A23" s="10" t="s">
        <v>23</v>
      </c>
      <c r="B23" s="58">
        <f>Music!E14</f>
        <v>240</v>
      </c>
      <c r="C23" s="90"/>
      <c r="D23" s="81"/>
      <c r="E23" s="10"/>
      <c r="F23" s="11"/>
      <c r="G23" s="10"/>
      <c r="H23" s="10"/>
      <c r="I23" s="10"/>
      <c r="J23" s="10"/>
    </row>
    <row r="24" spans="1:10">
      <c r="A24" s="10" t="s">
        <v>24</v>
      </c>
      <c r="B24" s="58">
        <f>Book!G21</f>
        <v>195</v>
      </c>
      <c r="C24" s="90"/>
      <c r="D24" s="81"/>
      <c r="E24" s="10"/>
      <c r="F24" s="11"/>
      <c r="G24" s="10"/>
      <c r="H24" s="10"/>
      <c r="I24" s="10"/>
      <c r="J24" s="10"/>
    </row>
    <row r="25" spans="1:10">
      <c r="A25" s="10" t="s">
        <v>25</v>
      </c>
      <c r="B25" s="58">
        <f>Games!G20</f>
        <v>190</v>
      </c>
      <c r="C25" s="90"/>
      <c r="D25" s="81"/>
      <c r="E25" s="10"/>
      <c r="F25" s="11"/>
      <c r="G25" s="10"/>
      <c r="H25" s="10"/>
      <c r="I25" s="10"/>
      <c r="J25" s="10"/>
    </row>
    <row r="26" spans="1:10">
      <c r="A26" s="10" t="s">
        <v>26</v>
      </c>
      <c r="B26" s="58">
        <f>IRDC!G18</f>
        <v>175</v>
      </c>
      <c r="C26" s="90"/>
      <c r="D26" s="81"/>
      <c r="E26" s="10"/>
      <c r="F26" s="11"/>
      <c r="G26" s="10"/>
      <c r="H26" s="10"/>
      <c r="I26" s="10"/>
      <c r="J26" s="10"/>
    </row>
    <row r="27" spans="1:10">
      <c r="A27" s="10" t="s">
        <v>27</v>
      </c>
      <c r="B27" s="58">
        <f>Politics!G15</f>
        <v>142.5</v>
      </c>
      <c r="C27" s="90"/>
      <c r="D27" s="81"/>
      <c r="E27" s="10"/>
      <c r="F27" s="11"/>
      <c r="G27" s="10"/>
      <c r="H27" s="10"/>
      <c r="I27" s="10"/>
      <c r="J27" s="10"/>
    </row>
    <row r="28" spans="1:10">
      <c r="A28" s="10" t="s">
        <v>28</v>
      </c>
      <c r="B28" s="58">
        <f>Crafts!E18</f>
        <v>133</v>
      </c>
      <c r="C28" s="90"/>
      <c r="D28" s="81"/>
      <c r="E28" s="10"/>
      <c r="F28" s="11"/>
      <c r="G28" s="10"/>
      <c r="H28" s="10"/>
      <c r="I28" s="10"/>
      <c r="J28" s="10"/>
    </row>
    <row r="29" spans="1:10">
      <c r="A29" s="10" t="s">
        <v>29</v>
      </c>
      <c r="B29" s="58">
        <f>Poetry!G13</f>
        <v>112.5</v>
      </c>
      <c r="C29" s="90"/>
      <c r="D29" s="81"/>
      <c r="E29" s="10"/>
      <c r="F29" s="11"/>
      <c r="G29" s="10"/>
      <c r="H29" s="10"/>
      <c r="I29" s="10"/>
      <c r="J29" s="10"/>
    </row>
    <row r="30" spans="1:10">
      <c r="A30" s="10"/>
      <c r="B30" s="58"/>
      <c r="C30" s="90"/>
      <c r="D30" s="10"/>
      <c r="E30" s="10"/>
      <c r="F30" s="11"/>
      <c r="G30" s="10"/>
      <c r="H30" s="10"/>
      <c r="I30" s="10"/>
      <c r="J30" s="10"/>
    </row>
    <row r="31" spans="1:10">
      <c r="A31" s="10" t="s">
        <v>30</v>
      </c>
      <c r="B31" s="59">
        <f>SUM(B2:B29)</f>
        <v>29536.429999999997</v>
      </c>
      <c r="C31" s="90"/>
      <c r="D31" s="81"/>
      <c r="E31" s="10"/>
      <c r="F31" s="11"/>
      <c r="G31" s="10"/>
      <c r="H31" s="10"/>
      <c r="I31" s="10"/>
      <c r="J31" s="10"/>
    </row>
    <row r="32" spans="1:10">
      <c r="A32" s="10" t="s">
        <v>31</v>
      </c>
      <c r="B32" s="90">
        <f>B31-B36</f>
        <v>29536.429999999997</v>
      </c>
      <c r="C32" s="90"/>
      <c r="D32" s="10"/>
      <c r="E32" s="81"/>
      <c r="F32" s="11"/>
      <c r="G32" s="10"/>
      <c r="H32" s="10"/>
      <c r="I32" s="10"/>
      <c r="J32" s="10"/>
    </row>
    <row r="33" spans="1:6">
      <c r="B33" s="60"/>
      <c r="E33" s="10"/>
    </row>
    <row r="34" spans="1:6">
      <c r="A34" s="78"/>
      <c r="B34" s="95"/>
    </row>
    <row r="35" spans="1:6">
      <c r="A35" s="78"/>
      <c r="B35" s="60"/>
    </row>
    <row r="36" spans="1:6">
      <c r="A36" s="78"/>
      <c r="B36" s="60"/>
    </row>
    <row r="37" spans="1:6">
      <c r="A37" s="78"/>
    </row>
    <row r="40" spans="1:6" ht="26.1" customHeight="1">
      <c r="C40" s="79"/>
      <c r="D40" s="80"/>
    </row>
    <row r="41" spans="1:6">
      <c r="A41" s="236"/>
      <c r="B41" s="237"/>
      <c r="C41" s="79"/>
      <c r="D41" s="80"/>
      <c r="F41" s="60"/>
    </row>
    <row r="42" spans="1:6">
      <c r="A42" s="236"/>
      <c r="C42" s="79"/>
      <c r="D42" s="80"/>
    </row>
    <row r="43" spans="1:6">
      <c r="A43" s="236"/>
      <c r="B43" s="237"/>
      <c r="C43" s="79"/>
      <c r="D43" s="80"/>
    </row>
    <row r="44" spans="1:6">
      <c r="A44" s="236"/>
      <c r="B44" s="238"/>
      <c r="C44" s="79"/>
      <c r="D44" s="80"/>
    </row>
    <row r="45" spans="1:6">
      <c r="A45" s="236"/>
      <c r="B45" s="238"/>
      <c r="C45" s="79"/>
      <c r="D45" s="79"/>
    </row>
  </sheetData>
  <sortState xmlns:xlrd2="http://schemas.microsoft.com/office/spreadsheetml/2017/richdata2" ref="A2:B29">
    <sortCondition descending="1" ref="B2:B2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618C-F21E-5040-9622-98A750B77039}">
  <dimension ref="B4:L36"/>
  <sheetViews>
    <sheetView workbookViewId="0">
      <selection activeCell="F2" sqref="F2"/>
    </sheetView>
  </sheetViews>
  <sheetFormatPr defaultColWidth="11.42578125" defaultRowHeight="15"/>
  <cols>
    <col min="2" max="2" width="25" customWidth="1"/>
    <col min="3" max="3" width="28.28515625" customWidth="1"/>
  </cols>
  <sheetData>
    <row r="4" spans="2:12" ht="26.1">
      <c r="B4" s="12" t="s">
        <v>214</v>
      </c>
      <c r="C4" s="12"/>
      <c r="D4" s="14"/>
      <c r="E4" s="14"/>
      <c r="F4" s="14"/>
      <c r="G4" s="14"/>
    </row>
    <row r="5" spans="2:12">
      <c r="L5" s="3"/>
    </row>
    <row r="6" spans="2:12">
      <c r="B6" s="3" t="s">
        <v>32</v>
      </c>
      <c r="C6" s="4" t="s">
        <v>33</v>
      </c>
      <c r="D6" s="4" t="s">
        <v>34</v>
      </c>
      <c r="E6" s="4"/>
      <c r="F6" s="4"/>
      <c r="G6" s="4" t="s">
        <v>37</v>
      </c>
      <c r="H6" s="3"/>
      <c r="I6" s="3"/>
    </row>
    <row r="7" spans="2:12" ht="15.75">
      <c r="B7" s="194" t="s">
        <v>215</v>
      </c>
      <c r="C7" s="195"/>
      <c r="D7" s="196"/>
      <c r="E7" s="196"/>
      <c r="F7" s="196"/>
      <c r="G7" s="196">
        <f>SUM(D8:D11)</f>
        <v>600</v>
      </c>
    </row>
    <row r="8" spans="2:12" ht="15.75">
      <c r="B8" s="194"/>
      <c r="C8" s="195" t="s">
        <v>71</v>
      </c>
      <c r="D8" s="196">
        <v>500</v>
      </c>
      <c r="E8" s="196"/>
      <c r="F8" s="196"/>
      <c r="G8" s="196"/>
    </row>
    <row r="9" spans="2:12" ht="15.75">
      <c r="B9" s="194"/>
      <c r="C9" s="195" t="s">
        <v>216</v>
      </c>
      <c r="D9" s="196">
        <v>50</v>
      </c>
      <c r="E9" s="196"/>
      <c r="F9" s="196"/>
      <c r="G9" s="196"/>
      <c r="H9" s="78"/>
    </row>
    <row r="10" spans="2:12" ht="15.75">
      <c r="B10" s="194"/>
      <c r="C10" s="195" t="s">
        <v>217</v>
      </c>
      <c r="D10" s="196">
        <v>20</v>
      </c>
      <c r="E10" s="196"/>
      <c r="F10" s="196"/>
      <c r="G10" s="196"/>
    </row>
    <row r="11" spans="2:12" ht="15.75">
      <c r="B11" s="194"/>
      <c r="C11" s="195" t="s">
        <v>218</v>
      </c>
      <c r="D11" s="196">
        <v>30</v>
      </c>
      <c r="E11" s="196"/>
      <c r="F11" s="196"/>
      <c r="G11" s="196"/>
    </row>
    <row r="12" spans="2:12" ht="15.75">
      <c r="B12" s="189" t="s">
        <v>219</v>
      </c>
      <c r="C12" s="183"/>
      <c r="D12" s="184"/>
      <c r="E12" s="184"/>
      <c r="F12" s="184"/>
      <c r="G12" s="184">
        <v>30</v>
      </c>
    </row>
    <row r="13" spans="2:12" ht="15.75">
      <c r="B13" s="189"/>
      <c r="C13" s="183" t="s">
        <v>220</v>
      </c>
      <c r="D13" s="184">
        <v>15</v>
      </c>
      <c r="E13" s="184"/>
      <c r="F13" s="184"/>
      <c r="G13" s="184"/>
    </row>
    <row r="14" spans="2:12" ht="15.75">
      <c r="B14" s="189"/>
      <c r="C14" s="183" t="s">
        <v>221</v>
      </c>
      <c r="D14" s="184">
        <v>15</v>
      </c>
      <c r="E14" s="184"/>
      <c r="F14" s="184"/>
      <c r="G14" s="184"/>
    </row>
    <row r="15" spans="2:12">
      <c r="B15" s="173" t="s">
        <v>222</v>
      </c>
      <c r="C15" s="174"/>
      <c r="D15" s="197"/>
      <c r="E15" s="197"/>
      <c r="F15" s="197"/>
      <c r="G15" s="197">
        <f>SUM(D16:D17)</f>
        <v>42.5</v>
      </c>
      <c r="H15" s="4"/>
      <c r="I15" s="4"/>
    </row>
    <row r="16" spans="2:12">
      <c r="B16" s="173" t="s">
        <v>223</v>
      </c>
      <c r="C16" s="174" t="s">
        <v>218</v>
      </c>
      <c r="D16" s="197">
        <v>30</v>
      </c>
      <c r="E16" s="197"/>
      <c r="F16" s="197"/>
      <c r="G16" s="197"/>
    </row>
    <row r="17" spans="2:9">
      <c r="B17" s="173"/>
      <c r="C17" s="174" t="s">
        <v>59</v>
      </c>
      <c r="D17" s="197">
        <v>12.5</v>
      </c>
      <c r="E17" s="197"/>
      <c r="F17" s="197"/>
      <c r="G17" s="197"/>
    </row>
    <row r="18" spans="2:9">
      <c r="B18" s="235" t="s">
        <v>224</v>
      </c>
      <c r="C18" s="131"/>
      <c r="D18" s="132"/>
      <c r="E18" s="132"/>
      <c r="F18" s="132"/>
      <c r="G18" s="132">
        <v>80</v>
      </c>
    </row>
    <row r="19" spans="2:9">
      <c r="B19" s="131"/>
      <c r="C19" s="131" t="s">
        <v>225</v>
      </c>
      <c r="D19" s="132">
        <v>60</v>
      </c>
      <c r="E19" s="132"/>
      <c r="F19" s="132"/>
      <c r="G19" s="132"/>
    </row>
    <row r="20" spans="2:9">
      <c r="B20" s="131"/>
      <c r="C20" s="131" t="s">
        <v>226</v>
      </c>
      <c r="D20" s="132">
        <v>20</v>
      </c>
      <c r="E20" s="132"/>
      <c r="F20" s="132"/>
      <c r="G20" s="132"/>
      <c r="H20" s="4"/>
      <c r="I20" s="4"/>
    </row>
    <row r="21" spans="2:9">
      <c r="B21" s="167" t="s">
        <v>227</v>
      </c>
      <c r="C21" s="168" t="s">
        <v>228</v>
      </c>
      <c r="D21" s="169">
        <v>130</v>
      </c>
      <c r="E21" s="169"/>
      <c r="F21" s="169"/>
      <c r="G21" s="169">
        <v>130</v>
      </c>
      <c r="H21" s="4"/>
      <c r="I21" s="4"/>
    </row>
    <row r="22" spans="2:9">
      <c r="B22" s="170" t="s">
        <v>55</v>
      </c>
      <c r="C22" s="242"/>
      <c r="D22" s="242"/>
      <c r="E22" s="242"/>
      <c r="F22" s="242"/>
      <c r="G22" s="171">
        <f>SUM(G7:G21)</f>
        <v>882.5</v>
      </c>
    </row>
    <row r="23" spans="2:9">
      <c r="B23" s="3"/>
      <c r="C23" s="2"/>
      <c r="D23" s="2"/>
      <c r="E23" s="2"/>
      <c r="F23" s="2"/>
      <c r="G23" s="4"/>
    </row>
    <row r="24" spans="2:9">
      <c r="D24" s="60"/>
    </row>
    <row r="25" spans="2:9">
      <c r="D25" s="60"/>
      <c r="E25" s="60"/>
    </row>
    <row r="26" spans="2:9">
      <c r="B26" s="46"/>
      <c r="C26" s="13"/>
      <c r="D26" s="13"/>
      <c r="E26" s="13"/>
    </row>
    <row r="27" spans="2:9">
      <c r="B27" s="13"/>
      <c r="C27" s="13"/>
      <c r="D27" s="100"/>
      <c r="E27" s="13"/>
    </row>
    <row r="28" spans="2:9">
      <c r="B28" s="13"/>
      <c r="C28" s="13"/>
      <c r="D28" s="100"/>
      <c r="E28" s="13"/>
    </row>
    <row r="29" spans="2:9">
      <c r="B29" s="13"/>
      <c r="C29" s="13"/>
      <c r="D29" s="100"/>
      <c r="E29" s="13"/>
    </row>
    <row r="30" spans="2:9">
      <c r="B30" s="13"/>
      <c r="C30" s="13"/>
      <c r="D30" s="100"/>
      <c r="E30" s="100"/>
    </row>
    <row r="31" spans="2:9">
      <c r="B31" s="46"/>
      <c r="C31" s="13"/>
      <c r="D31" s="13"/>
      <c r="E31" s="13"/>
    </row>
    <row r="32" spans="2:9">
      <c r="B32" s="13"/>
      <c r="C32" s="13"/>
      <c r="D32" s="100"/>
      <c r="E32" s="13"/>
    </row>
    <row r="33" spans="2:5">
      <c r="B33" s="13"/>
      <c r="C33" s="13"/>
      <c r="D33" s="100"/>
      <c r="E33" s="13"/>
    </row>
    <row r="34" spans="2:5">
      <c r="B34" s="13"/>
      <c r="C34" s="13"/>
      <c r="D34" s="100"/>
      <c r="E34" s="13"/>
    </row>
    <row r="35" spans="2:5">
      <c r="B35" s="13"/>
      <c r="C35" s="13"/>
      <c r="D35" s="100"/>
      <c r="E35" s="100"/>
    </row>
    <row r="36" spans="2:5">
      <c r="E3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3A9B-4FEF-8B4A-9BA7-0F98B51EF864}">
  <dimension ref="B3:K29"/>
  <sheetViews>
    <sheetView zoomScale="68" workbookViewId="0">
      <selection activeCell="H7" sqref="H7"/>
    </sheetView>
  </sheetViews>
  <sheetFormatPr defaultColWidth="11.42578125" defaultRowHeight="15"/>
  <cols>
    <col min="2" max="2" width="26.85546875" customWidth="1"/>
    <col min="3" max="3" width="26.42578125" customWidth="1"/>
    <col min="4" max="4" width="16.42578125" customWidth="1"/>
    <col min="6" max="6" width="13" customWidth="1"/>
  </cols>
  <sheetData>
    <row r="3" spans="2:10" ht="26.1">
      <c r="B3" s="1" t="s">
        <v>229</v>
      </c>
      <c r="C3" s="2"/>
      <c r="E3" s="2"/>
      <c r="F3" s="2"/>
      <c r="G3" s="2"/>
    </row>
    <row r="4" spans="2:10" ht="27">
      <c r="B4" s="33"/>
      <c r="C4" s="2"/>
      <c r="D4" s="34"/>
      <c r="E4" s="2"/>
      <c r="F4" s="2"/>
      <c r="G4" s="2"/>
    </row>
    <row r="5" spans="2:10">
      <c r="B5" s="3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4" t="s">
        <v>37</v>
      </c>
      <c r="H5" s="3"/>
      <c r="I5" s="3"/>
    </row>
    <row r="6" spans="2:10">
      <c r="B6" s="39" t="s">
        <v>230</v>
      </c>
      <c r="C6" s="5"/>
      <c r="D6" s="5"/>
      <c r="E6" s="5" t="s">
        <v>231</v>
      </c>
      <c r="F6" s="5">
        <f>20*6</f>
        <v>120</v>
      </c>
      <c r="G6" s="5">
        <f>SUM(D7:D8)-F6</f>
        <v>155</v>
      </c>
      <c r="H6" s="60"/>
      <c r="I6" s="60"/>
    </row>
    <row r="7" spans="2:10">
      <c r="B7" s="39"/>
      <c r="C7" s="16" t="s">
        <v>232</v>
      </c>
      <c r="D7" s="5">
        <v>240</v>
      </c>
      <c r="E7" s="5"/>
      <c r="F7" s="5"/>
      <c r="G7" s="5"/>
      <c r="H7" s="60"/>
      <c r="I7" s="60"/>
      <c r="J7" s="60"/>
    </row>
    <row r="8" spans="2:10">
      <c r="B8" s="39"/>
      <c r="C8" s="16" t="s">
        <v>59</v>
      </c>
      <c r="D8" s="5">
        <v>35</v>
      </c>
      <c r="E8" s="5"/>
      <c r="F8" s="5"/>
      <c r="G8" s="5"/>
      <c r="H8" s="60"/>
      <c r="I8" s="60"/>
    </row>
    <row r="9" spans="2:10" ht="30.75">
      <c r="B9" s="38" t="s">
        <v>233</v>
      </c>
      <c r="C9" s="36"/>
      <c r="D9" s="6"/>
      <c r="E9" s="6" t="s">
        <v>231</v>
      </c>
      <c r="F9" s="6">
        <f>20*6</f>
        <v>120</v>
      </c>
      <c r="G9" s="6">
        <f>SUM(D10:D11)-F9</f>
        <v>115</v>
      </c>
      <c r="H9" s="60"/>
      <c r="I9" s="60"/>
    </row>
    <row r="10" spans="2:10">
      <c r="B10" s="38"/>
      <c r="C10" s="36" t="s">
        <v>234</v>
      </c>
      <c r="D10" s="6">
        <v>200</v>
      </c>
      <c r="E10" s="6"/>
      <c r="F10" s="6"/>
      <c r="G10" s="6"/>
      <c r="H10" s="60"/>
      <c r="I10" s="60"/>
      <c r="J10" s="60"/>
    </row>
    <row r="11" spans="2:10">
      <c r="B11" s="38"/>
      <c r="C11" s="36" t="s">
        <v>59</v>
      </c>
      <c r="D11" s="6">
        <v>35</v>
      </c>
      <c r="E11" s="6"/>
      <c r="F11" s="6"/>
      <c r="G11" s="6"/>
      <c r="H11" s="60"/>
      <c r="I11" s="60"/>
    </row>
    <row r="12" spans="2:10" ht="30.75">
      <c r="B12" s="105" t="s">
        <v>235</v>
      </c>
      <c r="C12" s="16"/>
      <c r="D12" s="5"/>
      <c r="E12" s="5" t="s">
        <v>236</v>
      </c>
      <c r="F12" s="5">
        <f>25*7</f>
        <v>175</v>
      </c>
      <c r="G12" s="5">
        <f>SUM(D13:D14)-F12</f>
        <v>130</v>
      </c>
      <c r="H12" s="60"/>
      <c r="I12" s="60"/>
      <c r="J12" s="60"/>
    </row>
    <row r="13" spans="2:10">
      <c r="B13" s="39"/>
      <c r="C13" s="16" t="s">
        <v>237</v>
      </c>
      <c r="D13" s="5">
        <v>270</v>
      </c>
      <c r="E13" s="5"/>
      <c r="F13" s="5"/>
      <c r="G13" s="5"/>
      <c r="H13" s="60"/>
      <c r="I13" s="60"/>
    </row>
    <row r="14" spans="2:10" ht="30.75">
      <c r="B14" s="39"/>
      <c r="C14" s="16" t="s">
        <v>238</v>
      </c>
      <c r="D14" s="5">
        <v>35</v>
      </c>
      <c r="E14" s="5"/>
      <c r="F14" s="5"/>
      <c r="G14" s="5"/>
      <c r="H14" s="60"/>
      <c r="I14" s="60"/>
    </row>
    <row r="15" spans="2:10">
      <c r="B15" s="38" t="s">
        <v>239</v>
      </c>
      <c r="C15" s="36"/>
      <c r="D15" s="6"/>
      <c r="E15" s="6" t="s">
        <v>231</v>
      </c>
      <c r="F15" s="6">
        <f>20*6</f>
        <v>120</v>
      </c>
      <c r="G15" s="6">
        <f>SUM(D16:D18)-F15</f>
        <v>135</v>
      </c>
      <c r="H15" s="60"/>
      <c r="I15" s="60"/>
    </row>
    <row r="16" spans="2:10">
      <c r="B16" s="38"/>
      <c r="C16" s="36" t="s">
        <v>240</v>
      </c>
      <c r="D16" s="6">
        <v>200</v>
      </c>
      <c r="E16" s="6"/>
      <c r="F16" s="6"/>
      <c r="G16" s="6"/>
      <c r="H16" s="60"/>
      <c r="I16" s="60"/>
      <c r="J16" s="60"/>
    </row>
    <row r="17" spans="2:11">
      <c r="B17" s="38"/>
      <c r="C17" s="36" t="s">
        <v>241</v>
      </c>
      <c r="D17" s="6">
        <v>20</v>
      </c>
      <c r="E17" s="6"/>
      <c r="F17" s="6"/>
      <c r="G17" s="6"/>
      <c r="H17" s="60"/>
      <c r="I17" s="60"/>
      <c r="J17" s="60"/>
    </row>
    <row r="18" spans="2:11" ht="30.75">
      <c r="B18" s="38"/>
      <c r="C18" s="36" t="s">
        <v>242</v>
      </c>
      <c r="D18" s="6">
        <v>35</v>
      </c>
      <c r="E18" s="6"/>
      <c r="F18" s="6"/>
      <c r="G18" s="6"/>
      <c r="H18" s="60"/>
      <c r="I18" s="60"/>
    </row>
    <row r="19" spans="2:11" ht="30.75">
      <c r="B19" s="39" t="s">
        <v>243</v>
      </c>
      <c r="C19" s="16"/>
      <c r="D19" s="5"/>
      <c r="E19" s="5" t="s">
        <v>244</v>
      </c>
      <c r="F19" s="5">
        <f>15*6</f>
        <v>90</v>
      </c>
      <c r="G19" s="5">
        <f>SUM(D20:D21)-F19</f>
        <v>195</v>
      </c>
      <c r="H19" s="60"/>
      <c r="I19" s="60"/>
    </row>
    <row r="20" spans="2:11">
      <c r="B20" s="39"/>
      <c r="C20" s="16" t="s">
        <v>245</v>
      </c>
      <c r="D20" s="5">
        <v>250</v>
      </c>
      <c r="E20" s="5"/>
      <c r="F20" s="5"/>
      <c r="G20" s="5"/>
      <c r="H20" s="60"/>
      <c r="I20" s="60"/>
      <c r="J20" s="60"/>
    </row>
    <row r="21" spans="2:11">
      <c r="B21" s="39"/>
      <c r="C21" s="16" t="s">
        <v>246</v>
      </c>
      <c r="D21" s="5">
        <v>35</v>
      </c>
      <c r="E21" s="5"/>
      <c r="F21" s="5"/>
      <c r="G21" s="5"/>
      <c r="H21" s="60"/>
      <c r="I21" s="60"/>
      <c r="K21" s="91"/>
    </row>
    <row r="22" spans="2:11">
      <c r="B22" s="38" t="s">
        <v>247</v>
      </c>
      <c r="C22" s="36"/>
      <c r="D22" s="6"/>
      <c r="E22" s="6" t="s">
        <v>248</v>
      </c>
      <c r="F22" s="6">
        <f>30*7</f>
        <v>210</v>
      </c>
      <c r="G22" s="6">
        <f>SUM(D23:D24)-F22</f>
        <v>25</v>
      </c>
      <c r="H22" s="60"/>
      <c r="I22" s="60"/>
    </row>
    <row r="23" spans="2:11">
      <c r="B23" s="38"/>
      <c r="C23" s="36" t="s">
        <v>249</v>
      </c>
      <c r="D23" s="6">
        <v>200</v>
      </c>
      <c r="E23" s="6"/>
      <c r="F23" s="6"/>
      <c r="G23" s="6"/>
      <c r="H23" s="60"/>
      <c r="I23" s="60"/>
      <c r="J23" s="60"/>
    </row>
    <row r="24" spans="2:11">
      <c r="B24" s="38"/>
      <c r="C24" s="36" t="s">
        <v>59</v>
      </c>
      <c r="D24" s="6">
        <v>35</v>
      </c>
      <c r="E24" s="6"/>
      <c r="F24" s="6"/>
      <c r="G24" s="6"/>
      <c r="H24" s="60"/>
      <c r="I24" s="60"/>
      <c r="J24" s="60"/>
    </row>
    <row r="25" spans="2:11">
      <c r="B25" s="3" t="s">
        <v>55</v>
      </c>
      <c r="C25" s="2"/>
      <c r="D25" s="2"/>
      <c r="E25" s="2"/>
      <c r="F25" s="2"/>
      <c r="G25" s="4">
        <f>SUM(G6:G24)</f>
        <v>755</v>
      </c>
      <c r="H25" s="4"/>
      <c r="I25" s="4"/>
    </row>
    <row r="28" spans="2:11">
      <c r="F28" s="78"/>
      <c r="G28" s="91"/>
    </row>
    <row r="29" spans="2:11" ht="18">
      <c r="B29" s="83"/>
      <c r="C29" s="84"/>
      <c r="D29" s="85"/>
      <c r="E29" s="8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28ED-8236-A340-9B67-81251B57F5E9}">
  <dimension ref="B3:M25"/>
  <sheetViews>
    <sheetView topLeftCell="A3" zoomScale="87" workbookViewId="0">
      <selection activeCell="I20" sqref="I20"/>
    </sheetView>
  </sheetViews>
  <sheetFormatPr defaultColWidth="11.42578125" defaultRowHeight="15"/>
  <cols>
    <col min="2" max="2" width="17" customWidth="1"/>
    <col min="3" max="3" width="24.7109375" customWidth="1"/>
    <col min="4" max="4" width="16" customWidth="1"/>
    <col min="6" max="6" width="12.85546875" customWidth="1"/>
  </cols>
  <sheetData>
    <row r="3" spans="2:13" ht="26.1">
      <c r="B3" s="1" t="s">
        <v>250</v>
      </c>
      <c r="C3" s="2"/>
      <c r="E3" s="2"/>
      <c r="F3" s="2"/>
      <c r="G3" s="2"/>
    </row>
    <row r="4" spans="2:13" ht="15.75" customHeight="1">
      <c r="B4" s="33"/>
      <c r="C4" s="2"/>
      <c r="D4" s="34"/>
      <c r="E4" s="2"/>
      <c r="F4" s="2"/>
      <c r="G4" s="2"/>
    </row>
    <row r="5" spans="2:13">
      <c r="B5" s="170" t="s">
        <v>32</v>
      </c>
      <c r="C5" s="171" t="s">
        <v>33</v>
      </c>
      <c r="D5" s="171" t="s">
        <v>34</v>
      </c>
      <c r="E5" s="171" t="s">
        <v>35</v>
      </c>
      <c r="F5" s="171" t="s">
        <v>36</v>
      </c>
      <c r="G5" s="171" t="s">
        <v>37</v>
      </c>
      <c r="H5" s="3"/>
      <c r="I5" s="3"/>
    </row>
    <row r="6" spans="2:13" ht="32.25">
      <c r="B6" s="208" t="s">
        <v>251</v>
      </c>
      <c r="C6" s="195"/>
      <c r="D6" s="196"/>
      <c r="E6" s="196"/>
      <c r="F6" s="196"/>
      <c r="G6" s="196"/>
    </row>
    <row r="7" spans="2:13" ht="15.75">
      <c r="B7" s="208"/>
      <c r="C7" s="195" t="s">
        <v>252</v>
      </c>
      <c r="D7" s="196" t="s">
        <v>253</v>
      </c>
      <c r="E7" s="196"/>
      <c r="F7" s="196"/>
      <c r="G7" s="196"/>
    </row>
    <row r="8" spans="2:13" ht="15.75">
      <c r="B8" s="208"/>
      <c r="C8" s="195" t="s">
        <v>254</v>
      </c>
      <c r="D8" s="196" t="s">
        <v>255</v>
      </c>
      <c r="E8" s="196"/>
      <c r="F8" s="196"/>
      <c r="G8" s="196">
        <f>(50*3)+(12*3)</f>
        <v>186</v>
      </c>
    </row>
    <row r="9" spans="2:13" ht="16.5">
      <c r="B9" s="199" t="s">
        <v>256</v>
      </c>
      <c r="C9" s="183"/>
      <c r="D9" s="184"/>
      <c r="E9" s="184"/>
      <c r="F9" s="184"/>
      <c r="G9" s="184"/>
    </row>
    <row r="10" spans="2:13" ht="15.75">
      <c r="B10" s="199"/>
      <c r="C10" s="183" t="s">
        <v>257</v>
      </c>
      <c r="D10" s="184" t="s">
        <v>258</v>
      </c>
      <c r="E10" s="184"/>
      <c r="F10" s="184"/>
      <c r="G10" s="184"/>
    </row>
    <row r="11" spans="2:13" ht="15.75">
      <c r="B11" s="199"/>
      <c r="C11" s="183" t="s">
        <v>259</v>
      </c>
      <c r="D11" s="184" t="s">
        <v>260</v>
      </c>
      <c r="E11" s="184"/>
      <c r="F11" s="184"/>
      <c r="G11" s="184">
        <f>(26*3)+(29*3)</f>
        <v>165</v>
      </c>
    </row>
    <row r="12" spans="2:13" ht="15.75">
      <c r="B12" s="105" t="s">
        <v>261</v>
      </c>
      <c r="C12" s="168"/>
      <c r="D12" s="169"/>
      <c r="E12" s="169"/>
      <c r="F12" s="169"/>
      <c r="G12" s="169"/>
      <c r="H12" s="107"/>
      <c r="I12" s="107"/>
      <c r="J12" s="107"/>
      <c r="K12" s="107"/>
      <c r="L12" s="107"/>
      <c r="M12" s="107"/>
    </row>
    <row r="13" spans="2:13" ht="15.75">
      <c r="B13" s="105"/>
      <c r="C13" s="168" t="s">
        <v>262</v>
      </c>
      <c r="D13" s="169">
        <v>60</v>
      </c>
      <c r="E13" s="169"/>
      <c r="F13" s="169"/>
      <c r="G13" s="169"/>
      <c r="H13" s="107"/>
      <c r="I13" s="107"/>
      <c r="J13" s="107"/>
      <c r="K13" s="107"/>
      <c r="L13" s="107"/>
      <c r="M13" s="107"/>
    </row>
    <row r="14" spans="2:13" ht="15.75">
      <c r="B14" s="105"/>
      <c r="C14" s="168" t="s">
        <v>263</v>
      </c>
      <c r="D14" s="169">
        <v>30</v>
      </c>
      <c r="E14" s="169"/>
      <c r="F14" s="169"/>
      <c r="G14" s="169">
        <v>90</v>
      </c>
      <c r="H14" s="112"/>
      <c r="I14" s="113"/>
      <c r="J14" s="107"/>
      <c r="K14" s="107"/>
      <c r="L14" s="107"/>
      <c r="M14" s="107"/>
    </row>
    <row r="15" spans="2:13" ht="30.75">
      <c r="B15" s="200" t="s">
        <v>264</v>
      </c>
      <c r="C15" s="179"/>
      <c r="D15" s="186"/>
      <c r="E15" s="186"/>
      <c r="F15" s="186"/>
      <c r="G15" s="186"/>
      <c r="H15" s="107"/>
      <c r="I15" s="107"/>
      <c r="J15" s="107"/>
      <c r="K15" s="107"/>
      <c r="L15" s="107"/>
      <c r="M15" s="107"/>
    </row>
    <row r="16" spans="2:13" ht="15.75">
      <c r="B16" s="200"/>
      <c r="C16" s="179" t="s">
        <v>265</v>
      </c>
      <c r="D16" s="186" t="s">
        <v>266</v>
      </c>
      <c r="E16" s="186"/>
      <c r="F16" s="186"/>
      <c r="G16" s="186"/>
      <c r="H16" s="107"/>
      <c r="I16" s="107"/>
      <c r="J16" s="107"/>
      <c r="K16" s="107"/>
      <c r="L16" s="107"/>
      <c r="M16" s="107"/>
    </row>
    <row r="17" spans="2:13" ht="15.75">
      <c r="B17" s="200"/>
      <c r="C17" s="179" t="s">
        <v>267</v>
      </c>
      <c r="D17" s="186" t="s">
        <v>268</v>
      </c>
      <c r="E17" s="186"/>
      <c r="F17" s="186"/>
      <c r="G17" s="186">
        <f>(12.5*2)+(20)</f>
        <v>45</v>
      </c>
      <c r="H17" s="107"/>
      <c r="I17" s="107"/>
      <c r="J17" s="107"/>
      <c r="K17" s="107"/>
      <c r="L17" s="107"/>
      <c r="M17" s="107"/>
    </row>
    <row r="18" spans="2:13" ht="15.75">
      <c r="B18" s="105" t="s">
        <v>269</v>
      </c>
      <c r="C18" s="168"/>
      <c r="D18" s="169"/>
      <c r="E18" s="169"/>
      <c r="F18" s="169"/>
      <c r="G18" s="169"/>
      <c r="H18" s="107"/>
      <c r="I18" s="107"/>
      <c r="J18" s="107"/>
      <c r="K18" s="107"/>
      <c r="L18" s="107"/>
      <c r="M18" s="107"/>
    </row>
    <row r="19" spans="2:13" ht="15.75">
      <c r="B19" s="105"/>
      <c r="C19" s="168" t="s">
        <v>265</v>
      </c>
      <c r="D19" s="169">
        <v>12.5</v>
      </c>
      <c r="E19" s="169"/>
      <c r="F19" s="169"/>
      <c r="G19" s="169"/>
      <c r="H19" s="107"/>
      <c r="I19" s="107"/>
      <c r="J19" s="107"/>
      <c r="K19" s="107"/>
      <c r="L19" s="107"/>
      <c r="M19" s="107"/>
    </row>
    <row r="20" spans="2:13" ht="15.75">
      <c r="B20" s="105"/>
      <c r="C20" s="168" t="s">
        <v>270</v>
      </c>
      <c r="D20" s="169">
        <v>30</v>
      </c>
      <c r="E20" s="169"/>
      <c r="F20" s="169"/>
      <c r="G20" s="169">
        <f>SUM(D19:D20)</f>
        <v>42.5</v>
      </c>
      <c r="H20" s="112"/>
      <c r="I20" s="107"/>
      <c r="J20" s="107"/>
      <c r="K20" s="107"/>
      <c r="L20" s="107"/>
      <c r="M20" s="107"/>
    </row>
    <row r="21" spans="2:13" ht="15.75">
      <c r="B21" s="200" t="s">
        <v>271</v>
      </c>
      <c r="C21" s="179"/>
      <c r="D21" s="186"/>
      <c r="E21" s="186"/>
      <c r="F21" s="186"/>
      <c r="G21" s="186"/>
      <c r="H21" s="112"/>
      <c r="I21" s="107"/>
      <c r="J21" s="107"/>
      <c r="K21" s="107"/>
      <c r="L21" s="107"/>
      <c r="M21" s="107"/>
    </row>
    <row r="22" spans="2:13" ht="15.75">
      <c r="B22" s="200"/>
      <c r="C22" s="179" t="s">
        <v>272</v>
      </c>
      <c r="D22" s="186">
        <v>80</v>
      </c>
      <c r="E22" s="186"/>
      <c r="F22" s="186"/>
      <c r="G22" s="186">
        <f>D22</f>
        <v>80</v>
      </c>
      <c r="I22" s="107"/>
      <c r="J22" s="107"/>
      <c r="K22" s="107"/>
      <c r="L22" s="107"/>
      <c r="M22" s="107"/>
    </row>
    <row r="23" spans="2:13">
      <c r="B23" s="105" t="s">
        <v>273</v>
      </c>
      <c r="C23" s="168"/>
      <c r="D23" s="169"/>
      <c r="E23" s="169"/>
      <c r="F23" s="169"/>
      <c r="G23" s="169"/>
    </row>
    <row r="24" spans="2:13">
      <c r="B24" s="204"/>
      <c r="C24" s="168" t="s">
        <v>274</v>
      </c>
      <c r="D24" s="169">
        <v>10</v>
      </c>
      <c r="E24" s="169"/>
      <c r="F24" s="169"/>
      <c r="G24" s="169">
        <v>10</v>
      </c>
    </row>
    <row r="25" spans="2:13">
      <c r="B25" s="170" t="s">
        <v>55</v>
      </c>
      <c r="C25" s="242"/>
      <c r="D25" s="242"/>
      <c r="E25" s="242"/>
      <c r="F25" s="242"/>
      <c r="G25" s="171">
        <f>SUM(G6:G24)</f>
        <v>618.5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7B3E-13FC-1346-871C-5492A2B0D8C4}">
  <dimension ref="B4:I23"/>
  <sheetViews>
    <sheetView workbookViewId="0">
      <selection activeCell="I22" sqref="I22"/>
    </sheetView>
  </sheetViews>
  <sheetFormatPr defaultColWidth="11.42578125" defaultRowHeight="15"/>
  <cols>
    <col min="2" max="2" width="20.140625" customWidth="1"/>
    <col min="3" max="3" width="30.140625" customWidth="1"/>
    <col min="4" max="4" width="15.140625" customWidth="1"/>
    <col min="6" max="6" width="14.140625" customWidth="1"/>
  </cols>
  <sheetData>
    <row r="4" spans="2:9" ht="26.1">
      <c r="B4" s="1" t="s">
        <v>275</v>
      </c>
      <c r="C4" s="2"/>
      <c r="D4" s="2"/>
      <c r="E4" s="2"/>
    </row>
    <row r="5" spans="2:9">
      <c r="B5" s="3"/>
      <c r="C5" s="2"/>
      <c r="D5" s="2"/>
      <c r="E5" s="2"/>
    </row>
    <row r="6" spans="2:9">
      <c r="B6" s="3" t="s">
        <v>32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37</v>
      </c>
      <c r="H6" s="3"/>
      <c r="I6" s="3"/>
    </row>
    <row r="7" spans="2:9" ht="32.25">
      <c r="B7" s="187" t="s">
        <v>276</v>
      </c>
      <c r="C7" s="180"/>
      <c r="D7" s="181"/>
      <c r="E7" s="182" t="s">
        <v>277</v>
      </c>
      <c r="F7" s="181">
        <f>12*2</f>
        <v>24</v>
      </c>
      <c r="G7" s="181">
        <f>D8-F7</f>
        <v>36</v>
      </c>
      <c r="H7" s="60"/>
      <c r="I7" s="60"/>
    </row>
    <row r="8" spans="2:9" ht="15.75">
      <c r="B8" s="188"/>
      <c r="C8" s="180" t="s">
        <v>278</v>
      </c>
      <c r="D8" s="181">
        <v>60</v>
      </c>
      <c r="E8" s="181"/>
      <c r="F8" s="181"/>
      <c r="G8" s="181"/>
      <c r="H8" s="60"/>
      <c r="I8" s="60"/>
    </row>
    <row r="9" spans="2:9" ht="15.75">
      <c r="B9" s="188"/>
      <c r="C9" s="180"/>
      <c r="D9" s="181"/>
      <c r="E9" s="181"/>
      <c r="F9" s="181"/>
      <c r="G9" s="181"/>
      <c r="H9" s="60"/>
      <c r="I9" s="60"/>
    </row>
    <row r="10" spans="2:9" ht="15.75">
      <c r="B10" s="188"/>
      <c r="C10" s="180"/>
      <c r="D10" s="181"/>
      <c r="E10" s="181"/>
      <c r="F10" s="181"/>
      <c r="G10" s="181"/>
      <c r="H10" s="60"/>
      <c r="I10" s="60"/>
    </row>
    <row r="11" spans="2:9" ht="15.75">
      <c r="B11" s="189" t="s">
        <v>279</v>
      </c>
      <c r="C11" s="183"/>
      <c r="D11" s="184"/>
      <c r="E11" s="184"/>
      <c r="F11" s="184"/>
      <c r="G11" s="184">
        <f>D12-F12</f>
        <v>36</v>
      </c>
      <c r="H11" s="60"/>
      <c r="I11" s="60"/>
    </row>
    <row r="12" spans="2:9" ht="15.75">
      <c r="B12" s="189"/>
      <c r="C12" s="183" t="s">
        <v>280</v>
      </c>
      <c r="D12" s="184">
        <v>60</v>
      </c>
      <c r="E12" s="185" t="s">
        <v>277</v>
      </c>
      <c r="F12" s="184">
        <f>12*2</f>
        <v>24</v>
      </c>
      <c r="G12" s="184"/>
      <c r="H12" s="60"/>
      <c r="I12" s="60"/>
    </row>
    <row r="13" spans="2:9" ht="15.75">
      <c r="B13" s="189"/>
      <c r="C13" s="183"/>
      <c r="D13" s="184"/>
      <c r="E13" s="184"/>
      <c r="F13" s="184"/>
      <c r="G13" s="184"/>
      <c r="H13" s="60"/>
      <c r="I13" s="60"/>
    </row>
    <row r="14" spans="2:9" ht="30.75">
      <c r="B14" s="105" t="s">
        <v>281</v>
      </c>
      <c r="C14" s="168" t="s">
        <v>280</v>
      </c>
      <c r="D14" s="169">
        <v>80</v>
      </c>
      <c r="E14" s="182" t="s">
        <v>282</v>
      </c>
      <c r="F14" s="181">
        <f>17*2</f>
        <v>34</v>
      </c>
      <c r="G14" s="169">
        <f>D14-F14</f>
        <v>46</v>
      </c>
      <c r="H14" s="60"/>
      <c r="I14" s="60"/>
    </row>
    <row r="15" spans="2:9" ht="15.75">
      <c r="B15" s="178" t="s">
        <v>283</v>
      </c>
      <c r="C15" s="179" t="s">
        <v>280</v>
      </c>
      <c r="D15" s="186">
        <v>60</v>
      </c>
      <c r="E15" s="185" t="s">
        <v>277</v>
      </c>
      <c r="F15" s="184">
        <f>12*2</f>
        <v>24</v>
      </c>
      <c r="G15" s="186">
        <f>D15-F15</f>
        <v>36</v>
      </c>
      <c r="H15" s="60"/>
      <c r="I15" s="60"/>
    </row>
    <row r="16" spans="2:9">
      <c r="B16" s="178"/>
      <c r="C16" s="179"/>
      <c r="D16" s="186"/>
      <c r="E16" s="186"/>
      <c r="F16" s="186"/>
      <c r="G16" s="186"/>
      <c r="H16" s="4"/>
      <c r="I16" s="4"/>
    </row>
    <row r="17" spans="2:9" ht="15.75">
      <c r="B17" s="167" t="s">
        <v>284</v>
      </c>
      <c r="C17" s="180" t="s">
        <v>280</v>
      </c>
      <c r="D17" s="181">
        <v>120</v>
      </c>
      <c r="E17" s="181"/>
      <c r="F17" s="181"/>
      <c r="G17" s="169">
        <f>D17</f>
        <v>120</v>
      </c>
    </row>
    <row r="18" spans="2:9" ht="15.75">
      <c r="B18" s="178" t="s">
        <v>285</v>
      </c>
      <c r="C18" s="183"/>
      <c r="D18" s="184">
        <v>60</v>
      </c>
      <c r="E18" s="185" t="s">
        <v>277</v>
      </c>
      <c r="F18" s="184">
        <f>12*2</f>
        <v>24</v>
      </c>
      <c r="G18" s="186">
        <f>D18-F18</f>
        <v>36</v>
      </c>
    </row>
    <row r="19" spans="2:9" ht="15.75">
      <c r="B19" s="167" t="s">
        <v>286</v>
      </c>
      <c r="C19" s="180"/>
      <c r="D19" s="181">
        <v>170</v>
      </c>
      <c r="E19" s="181"/>
      <c r="F19" s="181"/>
      <c r="G19" s="169">
        <v>170</v>
      </c>
    </row>
    <row r="20" spans="2:9">
      <c r="B20" s="3" t="s">
        <v>55</v>
      </c>
      <c r="C20" s="2"/>
      <c r="D20" s="2"/>
      <c r="E20" s="2"/>
      <c r="F20" s="2"/>
      <c r="G20" s="4">
        <f>SUM(G4:G19)</f>
        <v>480</v>
      </c>
    </row>
    <row r="21" spans="2:9">
      <c r="H21" s="4"/>
      <c r="I21" s="4"/>
    </row>
    <row r="23" spans="2:9">
      <c r="B23" s="3"/>
      <c r="C23" s="2"/>
      <c r="D23" s="2"/>
      <c r="E23" s="2"/>
      <c r="F23" s="2"/>
      <c r="G23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2AB31-D97F-8F4B-9B38-8B7A4FE6D7D8}">
  <dimension ref="B4:I13"/>
  <sheetViews>
    <sheetView topLeftCell="A2" zoomScale="125" workbookViewId="0">
      <selection activeCell="G13" sqref="G13"/>
    </sheetView>
  </sheetViews>
  <sheetFormatPr defaultColWidth="11.42578125" defaultRowHeight="15"/>
  <cols>
    <col min="2" max="2" width="21.28515625" customWidth="1"/>
    <col min="3" max="3" width="17.85546875" customWidth="1"/>
    <col min="6" max="6" width="13" customWidth="1"/>
  </cols>
  <sheetData>
    <row r="4" spans="2:9" ht="26.1">
      <c r="B4" s="1" t="s">
        <v>287</v>
      </c>
      <c r="C4" s="2"/>
      <c r="D4" s="2"/>
      <c r="E4" s="2"/>
      <c r="F4" s="2"/>
      <c r="G4" s="2"/>
    </row>
    <row r="5" spans="2:9">
      <c r="C5" s="2"/>
      <c r="D5" s="2"/>
      <c r="E5" s="2"/>
      <c r="F5" s="2"/>
      <c r="G5" s="2"/>
    </row>
    <row r="6" spans="2:9">
      <c r="B6" s="94" t="s">
        <v>32</v>
      </c>
      <c r="C6" s="94" t="s">
        <v>33</v>
      </c>
      <c r="D6" s="94" t="s">
        <v>34</v>
      </c>
      <c r="E6" s="94" t="s">
        <v>35</v>
      </c>
      <c r="F6" s="94" t="s">
        <v>36</v>
      </c>
      <c r="G6" s="94" t="s">
        <v>37</v>
      </c>
      <c r="H6" s="3"/>
      <c r="I6" s="3"/>
    </row>
    <row r="7" spans="2:9">
      <c r="B7" s="178" t="s">
        <v>288</v>
      </c>
      <c r="C7" s="179"/>
      <c r="D7" s="186"/>
      <c r="E7" s="186"/>
      <c r="F7" s="186"/>
      <c r="G7" s="186">
        <f>SUM(D8:D9)</f>
        <v>382.5</v>
      </c>
    </row>
    <row r="8" spans="2:9">
      <c r="B8" s="178"/>
      <c r="C8" s="179" t="s">
        <v>289</v>
      </c>
      <c r="D8" s="186">
        <v>370</v>
      </c>
      <c r="E8" s="186"/>
      <c r="F8" s="186"/>
      <c r="G8" s="186"/>
    </row>
    <row r="9" spans="2:9">
      <c r="B9" s="178"/>
      <c r="C9" s="179" t="s">
        <v>290</v>
      </c>
      <c r="D9" s="186">
        <v>12.5</v>
      </c>
      <c r="E9" s="186"/>
      <c r="F9" s="186"/>
      <c r="G9" s="186"/>
    </row>
    <row r="10" spans="2:9">
      <c r="B10" s="167" t="s">
        <v>291</v>
      </c>
      <c r="C10" s="168"/>
      <c r="D10" s="169"/>
      <c r="E10" s="169"/>
      <c r="F10" s="169"/>
      <c r="G10" s="169">
        <f>SUM(D11:D12)</f>
        <v>42.5</v>
      </c>
    </row>
    <row r="11" spans="2:9" ht="30.75">
      <c r="B11" s="168"/>
      <c r="C11" s="204" t="s">
        <v>292</v>
      </c>
      <c r="D11" s="169">
        <v>30</v>
      </c>
      <c r="E11" s="169"/>
      <c r="F11" s="169"/>
      <c r="G11" s="169"/>
    </row>
    <row r="12" spans="2:9">
      <c r="B12" s="168"/>
      <c r="C12" s="168" t="s">
        <v>59</v>
      </c>
      <c r="D12" s="169">
        <v>12.5</v>
      </c>
      <c r="E12" s="169"/>
      <c r="F12" s="169"/>
      <c r="G12" s="169"/>
    </row>
    <row r="13" spans="2:9">
      <c r="B13" s="170" t="s">
        <v>55</v>
      </c>
      <c r="C13" s="242"/>
      <c r="D13" s="242"/>
      <c r="E13" s="242"/>
      <c r="F13" s="242"/>
      <c r="G13" s="171">
        <f>SUM(G7:G12)</f>
        <v>425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463B-A849-2A48-8879-DF6C9FE90A6D}">
  <dimension ref="B4:I20"/>
  <sheetViews>
    <sheetView zoomScale="112" workbookViewId="0">
      <selection activeCell="G18" sqref="G18"/>
    </sheetView>
  </sheetViews>
  <sheetFormatPr defaultColWidth="11.42578125" defaultRowHeight="15"/>
  <cols>
    <col min="2" max="2" width="22.140625" customWidth="1"/>
    <col min="3" max="3" width="24.42578125" customWidth="1"/>
    <col min="4" max="4" width="12.7109375" customWidth="1"/>
    <col min="5" max="5" width="8.140625" customWidth="1"/>
    <col min="6" max="6" width="14.42578125" customWidth="1"/>
  </cols>
  <sheetData>
    <row r="4" spans="2:9" ht="26.1">
      <c r="B4" s="1" t="s">
        <v>293</v>
      </c>
      <c r="C4" s="2"/>
      <c r="D4" s="2"/>
      <c r="E4" s="2"/>
      <c r="F4" s="2"/>
      <c r="G4" s="2"/>
    </row>
    <row r="5" spans="2:9">
      <c r="C5" s="2"/>
      <c r="D5" s="2"/>
      <c r="E5" s="2"/>
      <c r="F5" s="2"/>
      <c r="G5" s="2"/>
    </row>
    <row r="6" spans="2:9">
      <c r="B6" s="3" t="s">
        <v>32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37</v>
      </c>
      <c r="H6" s="3"/>
      <c r="I6" s="3"/>
    </row>
    <row r="7" spans="2:9" ht="32.25">
      <c r="B7" s="193" t="s">
        <v>294</v>
      </c>
      <c r="C7" s="190" t="s">
        <v>295</v>
      </c>
      <c r="D7" s="191">
        <v>60</v>
      </c>
      <c r="E7" s="191"/>
      <c r="F7" s="191"/>
      <c r="G7" s="191">
        <v>70</v>
      </c>
    </row>
    <row r="8" spans="2:9" ht="16.5">
      <c r="B8" s="193"/>
      <c r="C8" s="190" t="s">
        <v>59</v>
      </c>
      <c r="D8" s="191">
        <v>10</v>
      </c>
      <c r="E8" s="191"/>
      <c r="F8" s="191"/>
      <c r="G8" s="191"/>
    </row>
    <row r="9" spans="2:9" ht="16.5">
      <c r="B9" s="239" t="s">
        <v>296</v>
      </c>
      <c r="C9" s="240" t="s">
        <v>297</v>
      </c>
      <c r="D9" s="241">
        <v>60</v>
      </c>
      <c r="E9" s="241"/>
      <c r="F9" s="241"/>
      <c r="G9" s="241">
        <v>60</v>
      </c>
    </row>
    <row r="10" spans="2:9" ht="48.75">
      <c r="B10" s="193" t="s">
        <v>298</v>
      </c>
      <c r="C10" s="190" t="s">
        <v>299</v>
      </c>
      <c r="D10" s="191">
        <v>100</v>
      </c>
      <c r="E10" s="191"/>
      <c r="F10" s="191"/>
      <c r="G10" s="191">
        <v>100</v>
      </c>
      <c r="H10" s="78"/>
    </row>
    <row r="11" spans="2:9" ht="48.75">
      <c r="B11" s="239" t="s">
        <v>300</v>
      </c>
      <c r="C11" s="240" t="s">
        <v>301</v>
      </c>
      <c r="D11" s="241">
        <v>50</v>
      </c>
      <c r="E11" s="241"/>
      <c r="F11" s="241"/>
      <c r="G11" s="241">
        <f>SUM(D11:D13)</f>
        <v>80</v>
      </c>
    </row>
    <row r="12" spans="2:9" ht="16.5">
      <c r="B12" s="239"/>
      <c r="C12" s="240" t="s">
        <v>302</v>
      </c>
      <c r="D12" s="241">
        <v>20</v>
      </c>
      <c r="E12" s="241"/>
      <c r="F12" s="241"/>
      <c r="G12" s="241"/>
    </row>
    <row r="13" spans="2:9" ht="16.5">
      <c r="B13" s="239"/>
      <c r="C13" s="240" t="s">
        <v>59</v>
      </c>
      <c r="D13" s="241">
        <v>10</v>
      </c>
      <c r="E13" s="241"/>
      <c r="F13" s="241"/>
      <c r="G13" s="241"/>
    </row>
    <row r="14" spans="2:9" ht="16.5">
      <c r="B14" s="193" t="s">
        <v>303</v>
      </c>
      <c r="C14" s="190" t="s">
        <v>304</v>
      </c>
      <c r="D14" s="191">
        <v>20</v>
      </c>
      <c r="E14" s="191"/>
      <c r="F14" s="191"/>
      <c r="G14" s="191"/>
    </row>
    <row r="15" spans="2:9">
      <c r="B15" s="155"/>
      <c r="C15" s="192" t="s">
        <v>305</v>
      </c>
      <c r="D15" s="140">
        <v>10</v>
      </c>
      <c r="E15" s="140"/>
      <c r="F15" s="140"/>
      <c r="G15" s="140">
        <v>30</v>
      </c>
    </row>
    <row r="16" spans="2:9" ht="30.75">
      <c r="B16" s="200" t="s">
        <v>306</v>
      </c>
      <c r="C16" s="224" t="s">
        <v>307</v>
      </c>
      <c r="D16" s="186">
        <v>50</v>
      </c>
      <c r="E16" s="186"/>
      <c r="F16" s="186"/>
      <c r="G16" s="186">
        <v>50</v>
      </c>
      <c r="H16" s="78"/>
    </row>
    <row r="17" spans="2:9" ht="45.75">
      <c r="B17" s="155" t="s">
        <v>308</v>
      </c>
      <c r="C17" s="192" t="s">
        <v>309</v>
      </c>
      <c r="D17" s="140">
        <v>20</v>
      </c>
      <c r="E17" s="140"/>
      <c r="F17" s="140"/>
      <c r="G17" s="140">
        <f>20+12.5</f>
        <v>32.5</v>
      </c>
      <c r="H17" s="78"/>
    </row>
    <row r="18" spans="2:9">
      <c r="B18" s="155"/>
      <c r="C18" s="192" t="s">
        <v>59</v>
      </c>
      <c r="D18" s="140">
        <v>12.5</v>
      </c>
      <c r="E18" s="140"/>
      <c r="F18" s="140"/>
      <c r="G18" s="140"/>
      <c r="H18" s="78"/>
    </row>
    <row r="19" spans="2:9" ht="30.75">
      <c r="B19" s="200" t="s">
        <v>310</v>
      </c>
      <c r="C19" s="224"/>
      <c r="D19" s="186">
        <v>80</v>
      </c>
      <c r="E19" s="186"/>
      <c r="F19" s="186"/>
      <c r="G19" s="186">
        <v>80</v>
      </c>
      <c r="H19" s="78"/>
    </row>
    <row r="20" spans="2:9">
      <c r="B20" s="3" t="s">
        <v>55</v>
      </c>
      <c r="C20" s="2"/>
      <c r="D20" s="2"/>
      <c r="E20" s="2"/>
      <c r="F20" s="2"/>
      <c r="G20" s="4">
        <f>SUM(G7:G19)</f>
        <v>502.5</v>
      </c>
      <c r="H20" s="4"/>
      <c r="I20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E2EF4-6D81-934E-8EDB-A5B432BD6480}">
  <dimension ref="B5:J18"/>
  <sheetViews>
    <sheetView zoomScale="93" workbookViewId="0">
      <selection activeCell="J24" sqref="J24"/>
    </sheetView>
  </sheetViews>
  <sheetFormatPr defaultColWidth="11.42578125" defaultRowHeight="15"/>
  <cols>
    <col min="2" max="2" width="22.42578125" customWidth="1"/>
    <col min="3" max="4" width="18.140625" customWidth="1"/>
    <col min="6" max="6" width="13.7109375" customWidth="1"/>
  </cols>
  <sheetData>
    <row r="5" spans="2:10" ht="26.1">
      <c r="B5" s="1" t="s">
        <v>311</v>
      </c>
      <c r="C5" s="2"/>
      <c r="E5" s="2"/>
      <c r="F5" s="2"/>
      <c r="G5" s="2"/>
    </row>
    <row r="6" spans="2:10" ht="27">
      <c r="B6" s="33"/>
      <c r="C6" s="2"/>
      <c r="D6" s="34"/>
      <c r="E6" s="2"/>
      <c r="F6" s="2"/>
      <c r="G6" s="2"/>
    </row>
    <row r="7" spans="2:10">
      <c r="B7" s="170" t="s">
        <v>32</v>
      </c>
      <c r="C7" s="171" t="s">
        <v>33</v>
      </c>
      <c r="D7" s="171" t="s">
        <v>34</v>
      </c>
      <c r="E7" s="171" t="s">
        <v>35</v>
      </c>
      <c r="F7" s="171" t="s">
        <v>36</v>
      </c>
      <c r="G7" s="171" t="s">
        <v>37</v>
      </c>
      <c r="H7" s="3"/>
      <c r="I7" s="3"/>
      <c r="J7" s="3"/>
    </row>
    <row r="8" spans="2:10" ht="15.75">
      <c r="B8" s="194" t="s">
        <v>312</v>
      </c>
      <c r="C8" s="195"/>
      <c r="D8" s="196"/>
      <c r="E8" s="196"/>
      <c r="F8" s="196"/>
      <c r="G8" s="196"/>
    </row>
    <row r="9" spans="2:10" ht="15.75">
      <c r="B9" s="194"/>
      <c r="C9" s="195" t="s">
        <v>59</v>
      </c>
      <c r="D9" s="196">
        <f>15*12.5</f>
        <v>187.5</v>
      </c>
      <c r="E9" s="196"/>
      <c r="F9" s="196"/>
      <c r="G9" s="196"/>
    </row>
    <row r="10" spans="2:10" ht="15.75">
      <c r="B10" s="194"/>
      <c r="C10" s="195" t="s">
        <v>313</v>
      </c>
      <c r="D10" s="196">
        <v>20</v>
      </c>
      <c r="E10" s="196"/>
      <c r="F10" s="196"/>
      <c r="G10" s="196"/>
    </row>
    <row r="11" spans="2:10" ht="15.75">
      <c r="B11" s="194"/>
      <c r="C11" s="195"/>
      <c r="D11" s="196"/>
      <c r="E11" s="196"/>
      <c r="F11" s="196"/>
      <c r="G11" s="196">
        <f>SUM(D9:D10)</f>
        <v>207.5</v>
      </c>
    </row>
    <row r="12" spans="2:10" ht="15.75">
      <c r="B12" s="189" t="s">
        <v>314</v>
      </c>
      <c r="C12" s="183"/>
      <c r="D12" s="184"/>
      <c r="E12" s="184"/>
      <c r="F12" s="184"/>
      <c r="G12" s="184"/>
    </row>
    <row r="13" spans="2:10" ht="48.75">
      <c r="B13" s="189"/>
      <c r="C13" s="203" t="s">
        <v>315</v>
      </c>
      <c r="D13" s="184">
        <f>20*8</f>
        <v>160</v>
      </c>
      <c r="E13" s="184" t="s">
        <v>316</v>
      </c>
      <c r="F13" s="184">
        <f>4*20</f>
        <v>80</v>
      </c>
      <c r="G13" s="184">
        <f>D13-F13</f>
        <v>80</v>
      </c>
    </row>
    <row r="14" spans="2:10" ht="16.5">
      <c r="B14" s="187" t="s">
        <v>317</v>
      </c>
      <c r="C14" s="180"/>
      <c r="D14" s="181"/>
      <c r="E14" s="181"/>
      <c r="F14" s="181"/>
      <c r="G14" s="181"/>
      <c r="H14" s="4"/>
      <c r="I14" s="4"/>
    </row>
    <row r="15" spans="2:10" ht="48.75">
      <c r="B15" s="187"/>
      <c r="C15" s="202" t="s">
        <v>315</v>
      </c>
      <c r="D15" s="181">
        <f>20*8</f>
        <v>160</v>
      </c>
      <c r="E15" s="181" t="s">
        <v>316</v>
      </c>
      <c r="F15" s="181">
        <f>4*20</f>
        <v>80</v>
      </c>
      <c r="G15" s="181">
        <f>D15-F15</f>
        <v>80</v>
      </c>
      <c r="H15" s="4"/>
      <c r="I15" s="4"/>
    </row>
    <row r="16" spans="2:10" ht="15.75">
      <c r="B16" s="189" t="s">
        <v>318</v>
      </c>
      <c r="C16" s="183"/>
      <c r="D16" s="184"/>
      <c r="E16" s="184"/>
      <c r="F16" s="184"/>
      <c r="G16" s="184"/>
    </row>
    <row r="17" spans="2:7" ht="15.75">
      <c r="B17" s="189"/>
      <c r="C17" s="183" t="s">
        <v>59</v>
      </c>
      <c r="D17" s="184">
        <v>12.5</v>
      </c>
      <c r="E17" s="184"/>
      <c r="F17" s="184"/>
      <c r="G17" s="184">
        <v>12.5</v>
      </c>
    </row>
    <row r="18" spans="2:7">
      <c r="B18" s="170" t="s">
        <v>55</v>
      </c>
      <c r="C18" s="242"/>
      <c r="D18" s="242"/>
      <c r="E18" s="242"/>
      <c r="F18" s="242"/>
      <c r="G18" s="171">
        <f>SUM(G11:G17)</f>
        <v>380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F310A-DB1A-5445-88FE-AA5C8656CF06}">
  <dimension ref="B4:J25"/>
  <sheetViews>
    <sheetView zoomScale="91" workbookViewId="0">
      <selection activeCell="G18" sqref="G18"/>
    </sheetView>
  </sheetViews>
  <sheetFormatPr defaultColWidth="11.42578125" defaultRowHeight="15"/>
  <cols>
    <col min="2" max="2" width="19.28515625" customWidth="1"/>
    <col min="3" max="3" width="37.42578125" customWidth="1"/>
    <col min="6" max="6" width="15.42578125" customWidth="1"/>
  </cols>
  <sheetData>
    <row r="4" spans="2:10" ht="26.1">
      <c r="B4" s="12" t="s">
        <v>319</v>
      </c>
      <c r="C4" s="12"/>
      <c r="D4" s="14"/>
      <c r="E4" s="14"/>
      <c r="F4" s="14"/>
      <c r="G4" s="14"/>
    </row>
    <row r="6" spans="2:10">
      <c r="B6" s="3" t="s">
        <v>32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37</v>
      </c>
      <c r="H6" s="3"/>
      <c r="I6" s="3"/>
    </row>
    <row r="7" spans="2:10" ht="30.75">
      <c r="B7" s="111" t="s">
        <v>320</v>
      </c>
      <c r="C7" s="102"/>
      <c r="D7" s="126"/>
      <c r="E7" s="126"/>
      <c r="F7" s="126"/>
      <c r="G7" s="126">
        <f>SUM(D8:D9)</f>
        <v>42.5</v>
      </c>
      <c r="H7" s="60"/>
      <c r="I7" s="60"/>
    </row>
    <row r="8" spans="2:10">
      <c r="B8" s="111"/>
      <c r="C8" s="102" t="s">
        <v>321</v>
      </c>
      <c r="D8" s="126">
        <v>30</v>
      </c>
      <c r="E8" s="126"/>
      <c r="F8" s="126"/>
      <c r="G8" s="126"/>
      <c r="H8" s="154"/>
      <c r="I8" s="60"/>
      <c r="J8" s="60"/>
    </row>
    <row r="9" spans="2:10">
      <c r="B9" s="111"/>
      <c r="C9" s="102" t="s">
        <v>322</v>
      </c>
      <c r="D9" s="126">
        <v>12.5</v>
      </c>
      <c r="E9" s="126"/>
      <c r="F9" s="126"/>
      <c r="G9" s="126"/>
      <c r="H9" s="60"/>
      <c r="I9" s="60"/>
      <c r="J9" s="60"/>
    </row>
    <row r="10" spans="2:10">
      <c r="B10" s="110" t="s">
        <v>323</v>
      </c>
      <c r="C10" s="101"/>
      <c r="D10" s="125"/>
      <c r="E10" s="125" t="s">
        <v>324</v>
      </c>
      <c r="F10" s="125">
        <f>80*3</f>
        <v>240</v>
      </c>
      <c r="G10" s="125">
        <f>(SUM(D11:D17)-F10)</f>
        <v>231</v>
      </c>
      <c r="H10" s="60"/>
      <c r="I10" s="60"/>
      <c r="J10" s="60"/>
    </row>
    <row r="11" spans="2:10">
      <c r="B11" s="110"/>
      <c r="C11" s="101" t="s">
        <v>325</v>
      </c>
      <c r="D11" s="125">
        <f>(20)+(1*7)</f>
        <v>27</v>
      </c>
      <c r="E11" s="125"/>
      <c r="F11" s="125"/>
      <c r="G11" s="125"/>
      <c r="H11" s="60"/>
      <c r="I11" s="60"/>
    </row>
    <row r="12" spans="2:10">
      <c r="B12" s="110"/>
      <c r="C12" s="109" t="s">
        <v>326</v>
      </c>
      <c r="D12" s="125">
        <f>50*1.6</f>
        <v>80</v>
      </c>
      <c r="E12" s="125"/>
      <c r="F12" s="125"/>
      <c r="G12" s="125"/>
      <c r="H12" s="60"/>
      <c r="I12" s="60"/>
    </row>
    <row r="13" spans="2:10" ht="30.75">
      <c r="B13" s="110"/>
      <c r="C13" s="109" t="s">
        <v>327</v>
      </c>
      <c r="D13" s="125">
        <v>130</v>
      </c>
      <c r="E13" s="125"/>
      <c r="F13" s="125"/>
      <c r="G13" s="125"/>
      <c r="H13" s="60"/>
      <c r="I13" s="60"/>
    </row>
    <row r="14" spans="2:10">
      <c r="B14" s="110"/>
      <c r="C14" s="109" t="s">
        <v>328</v>
      </c>
      <c r="D14" s="125">
        <v>20</v>
      </c>
      <c r="E14" s="125"/>
      <c r="F14" s="125"/>
      <c r="G14" s="125"/>
      <c r="H14" s="60"/>
      <c r="I14" s="60"/>
    </row>
    <row r="15" spans="2:10" ht="22.5" customHeight="1">
      <c r="B15" s="110"/>
      <c r="C15" s="109" t="s">
        <v>329</v>
      </c>
      <c r="D15" s="125">
        <f>7*10</f>
        <v>70</v>
      </c>
      <c r="E15" s="125"/>
      <c r="F15" s="125"/>
      <c r="G15" s="125"/>
      <c r="H15" s="60"/>
      <c r="I15" s="60"/>
    </row>
    <row r="16" spans="2:10" ht="22.5" customHeight="1">
      <c r="B16" s="110"/>
      <c r="C16" s="109" t="s">
        <v>121</v>
      </c>
      <c r="D16" s="125">
        <v>35</v>
      </c>
      <c r="E16" s="125"/>
      <c r="F16" s="125"/>
      <c r="G16" s="125"/>
      <c r="H16" s="60"/>
      <c r="I16" s="60"/>
    </row>
    <row r="17" spans="2:9">
      <c r="B17" s="110"/>
      <c r="C17" s="109" t="s">
        <v>330</v>
      </c>
      <c r="D17" s="125">
        <f>15+15+6+70+3</f>
        <v>109</v>
      </c>
      <c r="E17" s="125"/>
      <c r="F17" s="125"/>
      <c r="G17" s="125"/>
      <c r="H17" s="60"/>
      <c r="I17" s="60"/>
    </row>
    <row r="18" spans="2:9" ht="30.75">
      <c r="B18" s="111" t="s">
        <v>331</v>
      </c>
      <c r="C18" s="102"/>
      <c r="D18" s="126"/>
      <c r="E18" s="126"/>
      <c r="F18" s="126"/>
      <c r="G18" s="126">
        <f>SUM(D18:D20)</f>
        <v>59.980000000000004</v>
      </c>
      <c r="H18" s="60"/>
      <c r="I18" s="60"/>
    </row>
    <row r="19" spans="2:9">
      <c r="B19" s="111"/>
      <c r="C19" s="102" t="s">
        <v>332</v>
      </c>
      <c r="D19" s="126">
        <f>3*16.66</f>
        <v>49.980000000000004</v>
      </c>
      <c r="E19" s="126"/>
      <c r="F19" s="126"/>
      <c r="G19" s="126"/>
      <c r="H19" s="60"/>
      <c r="I19" s="60"/>
    </row>
    <row r="20" spans="2:9">
      <c r="B20" s="111"/>
      <c r="C20" s="102" t="s">
        <v>333</v>
      </c>
      <c r="D20" s="126">
        <v>10</v>
      </c>
      <c r="E20" s="126"/>
      <c r="F20" s="126"/>
      <c r="G20" s="126"/>
      <c r="H20" s="2"/>
      <c r="I20" s="4"/>
    </row>
    <row r="21" spans="2:9">
      <c r="B21" s="127" t="s">
        <v>334</v>
      </c>
      <c r="C21" s="128" t="s">
        <v>335</v>
      </c>
      <c r="D21" s="129">
        <v>35</v>
      </c>
      <c r="E21" s="129"/>
      <c r="F21" s="129"/>
      <c r="G21" s="129">
        <v>35</v>
      </c>
    </row>
    <row r="22" spans="2:9">
      <c r="B22" s="3" t="s">
        <v>55</v>
      </c>
      <c r="C22" s="2"/>
      <c r="D22" s="2"/>
      <c r="E22" s="2"/>
      <c r="F22" s="2"/>
      <c r="G22" s="4">
        <f>SUM(G7:G21)</f>
        <v>368.48</v>
      </c>
    </row>
    <row r="25" spans="2:9">
      <c r="B25" s="3"/>
      <c r="C25" s="2"/>
      <c r="D25" s="2"/>
      <c r="E25" s="2"/>
      <c r="F25" s="2"/>
      <c r="G25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8D16-9194-2F42-8C81-6753A1833BBE}">
  <dimension ref="B4:G19"/>
  <sheetViews>
    <sheetView zoomScale="125" workbookViewId="0">
      <selection activeCell="H13" sqref="H13"/>
    </sheetView>
  </sheetViews>
  <sheetFormatPr defaultColWidth="11.42578125" defaultRowHeight="15"/>
  <cols>
    <col min="2" max="2" width="35" customWidth="1"/>
    <col min="3" max="3" width="15.28515625" customWidth="1"/>
  </cols>
  <sheetData>
    <row r="4" spans="2:7" ht="26.25">
      <c r="B4" s="1" t="s">
        <v>336</v>
      </c>
      <c r="C4" s="2"/>
      <c r="D4" s="2"/>
      <c r="E4" s="2"/>
    </row>
    <row r="5" spans="2:7">
      <c r="C5" s="2"/>
      <c r="D5" s="2"/>
      <c r="E5" s="2"/>
    </row>
    <row r="6" spans="2:7">
      <c r="B6" s="3" t="s">
        <v>32</v>
      </c>
      <c r="C6" s="4" t="s">
        <v>33</v>
      </c>
      <c r="D6" s="4" t="s">
        <v>34</v>
      </c>
      <c r="E6" s="4" t="s">
        <v>35</v>
      </c>
      <c r="F6" s="3" t="s">
        <v>337</v>
      </c>
      <c r="G6" s="3" t="s">
        <v>37</v>
      </c>
    </row>
    <row r="7" spans="2:7" ht="15.75">
      <c r="B7" s="220" t="s">
        <v>338</v>
      </c>
      <c r="C7" s="122" t="s">
        <v>59</v>
      </c>
      <c r="D7" s="147">
        <v>12.5</v>
      </c>
      <c r="E7" s="147"/>
      <c r="F7" s="147"/>
      <c r="G7" s="147">
        <f>SUM(D7:D8)</f>
        <v>52.5</v>
      </c>
    </row>
    <row r="8" spans="2:7" ht="21.75" customHeight="1">
      <c r="B8" s="220" t="s">
        <v>339</v>
      </c>
      <c r="C8" s="122" t="s">
        <v>94</v>
      </c>
      <c r="D8" s="147">
        <v>40</v>
      </c>
      <c r="E8" s="147"/>
      <c r="F8" s="147"/>
      <c r="G8" s="147"/>
    </row>
    <row r="9" spans="2:7" ht="27.75" customHeight="1">
      <c r="B9" s="189" t="s">
        <v>340</v>
      </c>
      <c r="C9" s="183" t="s">
        <v>59</v>
      </c>
      <c r="D9" s="184">
        <v>12.5</v>
      </c>
      <c r="E9" s="184"/>
      <c r="F9" s="184"/>
      <c r="G9" s="184">
        <v>12.5</v>
      </c>
    </row>
    <row r="10" spans="2:7" ht="15.75">
      <c r="B10" s="220" t="s">
        <v>341</v>
      </c>
      <c r="C10" s="122" t="s">
        <v>59</v>
      </c>
      <c r="D10" s="147">
        <v>12.5</v>
      </c>
      <c r="E10" s="147"/>
      <c r="F10" s="147"/>
      <c r="G10" s="147">
        <f>SUM(D10:D11)</f>
        <v>42.5</v>
      </c>
    </row>
    <row r="11" spans="2:7" ht="15.75">
      <c r="B11" s="220"/>
      <c r="C11" s="122" t="s">
        <v>267</v>
      </c>
      <c r="D11" s="147">
        <v>30</v>
      </c>
      <c r="E11" s="147"/>
      <c r="F11" s="147"/>
      <c r="G11" s="147"/>
    </row>
    <row r="12" spans="2:7" ht="15.75">
      <c r="B12" s="189" t="s">
        <v>342</v>
      </c>
      <c r="C12" s="183" t="s">
        <v>59</v>
      </c>
      <c r="D12" s="184">
        <v>12.5</v>
      </c>
      <c r="E12" s="184"/>
      <c r="F12" s="184"/>
      <c r="G12" s="184">
        <f>SUM(D12:D13)</f>
        <v>112.5</v>
      </c>
    </row>
    <row r="13" spans="2:7" ht="15.75">
      <c r="B13" s="189"/>
      <c r="C13" s="183" t="s">
        <v>94</v>
      </c>
      <c r="D13" s="184">
        <v>100</v>
      </c>
      <c r="E13" s="184"/>
      <c r="F13" s="184"/>
      <c r="G13" s="184"/>
    </row>
    <row r="14" spans="2:7" ht="16.5">
      <c r="B14" s="221" t="s">
        <v>343</v>
      </c>
      <c r="C14" s="122" t="s">
        <v>59</v>
      </c>
      <c r="D14" s="147">
        <v>12.5</v>
      </c>
      <c r="E14" s="147"/>
      <c r="F14" s="147"/>
      <c r="G14" s="147">
        <v>12.5</v>
      </c>
    </row>
    <row r="15" spans="2:7" ht="15.75">
      <c r="B15" s="189" t="s">
        <v>344</v>
      </c>
      <c r="C15" s="183" t="s">
        <v>121</v>
      </c>
      <c r="D15" s="184">
        <v>25</v>
      </c>
      <c r="E15" s="184"/>
      <c r="F15" s="184"/>
      <c r="G15" s="184">
        <f>D15</f>
        <v>25</v>
      </c>
    </row>
    <row r="16" spans="2:7" ht="15.75">
      <c r="B16" s="220" t="s">
        <v>345</v>
      </c>
      <c r="C16" s="122" t="s">
        <v>59</v>
      </c>
      <c r="D16" s="147">
        <v>12.5</v>
      </c>
      <c r="E16" s="147"/>
      <c r="F16" s="147"/>
      <c r="G16" s="147">
        <f>SUM(D16:D17)</f>
        <v>32.5</v>
      </c>
    </row>
    <row r="17" spans="2:7" ht="15.75">
      <c r="B17" s="220"/>
      <c r="C17" s="122" t="s">
        <v>94</v>
      </c>
      <c r="D17" s="147">
        <v>20</v>
      </c>
      <c r="E17" s="147"/>
      <c r="F17" s="147"/>
      <c r="G17" s="147"/>
    </row>
    <row r="18" spans="2:7" ht="15.75">
      <c r="B18" s="189" t="s">
        <v>334</v>
      </c>
      <c r="C18" s="183" t="s">
        <v>94</v>
      </c>
      <c r="D18" s="184">
        <v>20</v>
      </c>
      <c r="E18" s="184"/>
      <c r="F18" s="184"/>
      <c r="G18" s="184">
        <v>20</v>
      </c>
    </row>
    <row r="19" spans="2:7">
      <c r="B19" s="67" t="s">
        <v>346</v>
      </c>
      <c r="E19" s="4"/>
      <c r="G19" s="4">
        <f>SUM(G7:G18)</f>
        <v>310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1EFB-E254-1540-8823-EA7A2A224A95}">
  <dimension ref="B4:I37"/>
  <sheetViews>
    <sheetView topLeftCell="A2" zoomScale="86" workbookViewId="0">
      <selection activeCell="O29" sqref="O29"/>
    </sheetView>
  </sheetViews>
  <sheetFormatPr defaultColWidth="11.42578125" defaultRowHeight="15"/>
  <cols>
    <col min="2" max="2" width="33.42578125" customWidth="1"/>
    <col min="3" max="3" width="25.7109375" customWidth="1"/>
    <col min="6" max="6" width="13.7109375" customWidth="1"/>
    <col min="7" max="7" width="12.28515625" customWidth="1"/>
  </cols>
  <sheetData>
    <row r="4" spans="2:9" ht="26.25">
      <c r="B4" s="1" t="s">
        <v>347</v>
      </c>
      <c r="C4" s="35"/>
      <c r="D4" s="35"/>
      <c r="E4" s="35"/>
      <c r="F4" s="35"/>
      <c r="G4" s="35"/>
    </row>
    <row r="5" spans="2:9" ht="15.95">
      <c r="B5" s="35"/>
      <c r="C5" s="35"/>
      <c r="D5" s="35"/>
      <c r="E5" s="35"/>
      <c r="F5" s="35"/>
      <c r="G5" s="35"/>
    </row>
    <row r="6" spans="2:9">
      <c r="B6" s="3" t="s">
        <v>32</v>
      </c>
      <c r="C6" s="3" t="s">
        <v>33</v>
      </c>
      <c r="D6" s="3" t="s">
        <v>34</v>
      </c>
      <c r="E6" s="3" t="s">
        <v>35</v>
      </c>
      <c r="F6" s="3" t="s">
        <v>36</v>
      </c>
      <c r="G6" s="3" t="s">
        <v>37</v>
      </c>
      <c r="H6" s="3"/>
      <c r="I6" s="3"/>
    </row>
    <row r="7" spans="2:9" ht="30.75">
      <c r="B7" s="155" t="s">
        <v>348</v>
      </c>
      <c r="C7" s="139"/>
      <c r="D7" s="139"/>
      <c r="E7" s="139"/>
      <c r="F7" s="139"/>
      <c r="G7" s="139"/>
    </row>
    <row r="8" spans="2:9" ht="15.75">
      <c r="B8" s="156"/>
      <c r="C8" s="140" t="s">
        <v>59</v>
      </c>
      <c r="D8" s="140">
        <v>12.5</v>
      </c>
      <c r="E8" s="139"/>
      <c r="F8" s="139"/>
      <c r="G8" s="140">
        <v>12.5</v>
      </c>
    </row>
    <row r="9" spans="2:9" ht="15.75">
      <c r="B9" s="157" t="s">
        <v>349</v>
      </c>
      <c r="C9" s="141"/>
      <c r="D9" s="141"/>
      <c r="E9" s="141"/>
      <c r="F9" s="141"/>
      <c r="G9" s="141"/>
    </row>
    <row r="10" spans="2:9" ht="15.75">
      <c r="B10" s="158"/>
      <c r="C10" s="142" t="s">
        <v>350</v>
      </c>
      <c r="D10" s="142">
        <v>20</v>
      </c>
      <c r="E10" s="141"/>
      <c r="F10" s="141"/>
      <c r="G10" s="141"/>
    </row>
    <row r="11" spans="2:9" ht="15.75">
      <c r="B11" s="158"/>
      <c r="C11" s="142" t="s">
        <v>59</v>
      </c>
      <c r="D11" s="142">
        <v>12.5</v>
      </c>
      <c r="E11" s="141"/>
      <c r="F11" s="141"/>
      <c r="G11" s="142">
        <v>32.5</v>
      </c>
    </row>
    <row r="12" spans="2:9">
      <c r="B12" s="39" t="s">
        <v>351</v>
      </c>
      <c r="C12" s="16"/>
      <c r="D12" s="5"/>
      <c r="E12" s="5" t="s">
        <v>352</v>
      </c>
      <c r="F12" s="5">
        <f>30*3</f>
        <v>90</v>
      </c>
      <c r="G12" s="5">
        <f>SUM(D13:D15)-F12</f>
        <v>105</v>
      </c>
    </row>
    <row r="13" spans="2:9">
      <c r="B13" s="39"/>
      <c r="C13" s="16" t="s">
        <v>237</v>
      </c>
      <c r="D13" s="5">
        <v>150</v>
      </c>
      <c r="E13" s="5"/>
      <c r="F13" s="5"/>
      <c r="G13" s="5"/>
    </row>
    <row r="14" spans="2:9">
      <c r="B14" s="39"/>
      <c r="C14" s="16" t="s">
        <v>121</v>
      </c>
      <c r="D14" s="5">
        <v>10</v>
      </c>
      <c r="E14" s="5"/>
      <c r="F14" s="5"/>
      <c r="G14" s="5"/>
    </row>
    <row r="15" spans="2:9" ht="15.75">
      <c r="B15" s="39"/>
      <c r="C15" s="16" t="s">
        <v>353</v>
      </c>
      <c r="D15" s="5">
        <v>35</v>
      </c>
      <c r="E15" s="5"/>
      <c r="F15" s="5"/>
      <c r="G15" s="5"/>
      <c r="H15" s="47"/>
    </row>
    <row r="16" spans="2:9" ht="30.75">
      <c r="B16" s="157" t="s">
        <v>354</v>
      </c>
      <c r="C16" s="142" t="s">
        <v>59</v>
      </c>
      <c r="D16" s="142">
        <v>12.5</v>
      </c>
      <c r="E16" s="142"/>
      <c r="F16" s="142"/>
      <c r="G16" s="142">
        <v>12.5</v>
      </c>
    </row>
    <row r="17" spans="2:9" ht="30.75">
      <c r="B17" s="155" t="s">
        <v>355</v>
      </c>
      <c r="C17" s="140"/>
      <c r="D17" s="140"/>
      <c r="E17" s="140"/>
      <c r="F17" s="140"/>
      <c r="G17" s="140"/>
      <c r="H17" s="3"/>
      <c r="I17" s="3"/>
    </row>
    <row r="18" spans="2:9">
      <c r="B18" s="159"/>
      <c r="C18" s="140" t="s">
        <v>59</v>
      </c>
      <c r="D18" s="140">
        <v>12.5</v>
      </c>
      <c r="E18" s="140"/>
      <c r="F18" s="140"/>
      <c r="G18" s="140">
        <v>12.5</v>
      </c>
    </row>
    <row r="19" spans="2:9" ht="30.75">
      <c r="B19" s="157" t="s">
        <v>356</v>
      </c>
      <c r="C19" s="142"/>
      <c r="D19" s="142"/>
      <c r="E19" s="142"/>
      <c r="F19" s="142"/>
      <c r="G19" s="142"/>
    </row>
    <row r="20" spans="2:9">
      <c r="B20" s="160"/>
      <c r="C20" s="142" t="s">
        <v>357</v>
      </c>
      <c r="D20" s="142">
        <v>10</v>
      </c>
      <c r="E20" s="142"/>
      <c r="F20" s="142"/>
      <c r="G20" s="142"/>
    </row>
    <row r="21" spans="2:9">
      <c r="B21" s="160"/>
      <c r="C21" s="142" t="s">
        <v>59</v>
      </c>
      <c r="D21" s="142">
        <v>12.5</v>
      </c>
      <c r="E21" s="142"/>
      <c r="F21" s="142"/>
      <c r="G21" s="142">
        <v>32.5</v>
      </c>
    </row>
    <row r="22" spans="2:9" ht="30.75">
      <c r="B22" s="155" t="s">
        <v>358</v>
      </c>
      <c r="C22" s="140"/>
      <c r="D22" s="140"/>
      <c r="E22" s="140"/>
      <c r="F22" s="140"/>
      <c r="G22" s="140"/>
    </row>
    <row r="23" spans="2:9">
      <c r="B23" s="159"/>
      <c r="C23" s="140" t="s">
        <v>59</v>
      </c>
      <c r="D23" s="140">
        <v>12.5</v>
      </c>
      <c r="E23" s="140"/>
      <c r="F23" s="140"/>
      <c r="G23" s="140">
        <v>12.5</v>
      </c>
    </row>
    <row r="24" spans="2:9">
      <c r="B24" s="157" t="s">
        <v>359</v>
      </c>
      <c r="C24" s="142"/>
      <c r="D24" s="142"/>
      <c r="E24" s="142"/>
      <c r="F24" s="142"/>
      <c r="G24" s="142"/>
    </row>
    <row r="25" spans="2:9">
      <c r="B25" s="160"/>
      <c r="C25" s="142" t="s">
        <v>59</v>
      </c>
      <c r="D25" s="142">
        <v>12.5</v>
      </c>
      <c r="E25" s="142"/>
      <c r="F25" s="142"/>
      <c r="G25" s="142">
        <v>12.5</v>
      </c>
    </row>
    <row r="26" spans="2:9">
      <c r="B26" s="155" t="s">
        <v>360</v>
      </c>
      <c r="C26" s="140"/>
      <c r="D26" s="140"/>
      <c r="E26" s="140"/>
      <c r="F26" s="140"/>
      <c r="G26" s="140"/>
    </row>
    <row r="27" spans="2:9">
      <c r="B27" s="159"/>
      <c r="C27" s="140" t="s">
        <v>59</v>
      </c>
      <c r="D27" s="140">
        <v>12.5</v>
      </c>
      <c r="E27" s="140"/>
      <c r="F27" s="140"/>
      <c r="G27" s="140">
        <v>12.5</v>
      </c>
    </row>
    <row r="28" spans="2:9">
      <c r="B28" s="157" t="s">
        <v>361</v>
      </c>
      <c r="C28" s="142"/>
      <c r="D28" s="142"/>
      <c r="E28" s="142"/>
      <c r="F28" s="142"/>
      <c r="G28" s="142"/>
    </row>
    <row r="29" spans="2:9">
      <c r="B29" s="160"/>
      <c r="C29" s="142" t="s">
        <v>59</v>
      </c>
      <c r="D29" s="142">
        <v>12.5</v>
      </c>
      <c r="E29" s="142"/>
      <c r="F29" s="142"/>
      <c r="G29" s="142">
        <v>12.5</v>
      </c>
    </row>
    <row r="30" spans="2:9" ht="15.75">
      <c r="B30" s="26" t="s">
        <v>55</v>
      </c>
      <c r="C30" s="35"/>
      <c r="D30" s="35"/>
      <c r="E30" s="35"/>
      <c r="F30" s="35"/>
      <c r="G30" s="172">
        <f>SUM(G7:G29)</f>
        <v>257.5</v>
      </c>
    </row>
    <row r="37" spans="2:7" ht="15.75">
      <c r="B37" s="26"/>
      <c r="C37" s="35"/>
      <c r="D37" s="35"/>
      <c r="E37" s="35"/>
      <c r="F37" s="35"/>
      <c r="G37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FA1F-0D4B-4A86-BE68-550E18CB7539}">
  <dimension ref="B2:L32"/>
  <sheetViews>
    <sheetView zoomScale="93" zoomScaleNormal="80" workbookViewId="0">
      <selection activeCell="D16" sqref="D16"/>
    </sheetView>
  </sheetViews>
  <sheetFormatPr defaultColWidth="11.42578125" defaultRowHeight="15"/>
  <cols>
    <col min="1" max="1" width="12.7109375" customWidth="1"/>
    <col min="2" max="2" width="24.5703125" customWidth="1"/>
    <col min="3" max="3" width="27" customWidth="1"/>
    <col min="6" max="6" width="13.42578125" customWidth="1"/>
  </cols>
  <sheetData>
    <row r="2" spans="2:12" ht="26.1">
      <c r="B2" s="1" t="s">
        <v>2</v>
      </c>
      <c r="C2" s="2"/>
      <c r="D2" s="2"/>
      <c r="E2" s="2"/>
      <c r="F2" s="2"/>
      <c r="G2" s="2"/>
    </row>
    <row r="3" spans="2:12">
      <c r="C3" s="2"/>
      <c r="D3" s="2"/>
      <c r="E3" s="2"/>
      <c r="F3" s="2"/>
      <c r="G3" s="2"/>
    </row>
    <row r="4" spans="2:12">
      <c r="B4" s="3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3"/>
      <c r="I4" s="3"/>
      <c r="L4" s="3"/>
    </row>
    <row r="5" spans="2:12" ht="30.75">
      <c r="B5" s="18" t="s">
        <v>38</v>
      </c>
      <c r="C5" s="16" t="s">
        <v>39</v>
      </c>
      <c r="D5" s="52">
        <f>3*50</f>
        <v>150</v>
      </c>
      <c r="E5" s="52"/>
      <c r="F5" s="52"/>
      <c r="G5" s="52">
        <f t="shared" ref="G5:G10" si="0">D5</f>
        <v>150</v>
      </c>
      <c r="H5" s="60"/>
      <c r="I5" s="60"/>
    </row>
    <row r="6" spans="2:12">
      <c r="B6" s="17" t="s">
        <v>40</v>
      </c>
      <c r="C6" s="6"/>
      <c r="D6" s="53">
        <v>70</v>
      </c>
      <c r="E6" s="53"/>
      <c r="F6" s="53"/>
      <c r="G6" s="53">
        <f t="shared" si="0"/>
        <v>70</v>
      </c>
      <c r="H6" s="60"/>
      <c r="I6" s="60"/>
    </row>
    <row r="7" spans="2:12">
      <c r="B7" s="18" t="s">
        <v>41</v>
      </c>
      <c r="C7" s="5"/>
      <c r="D7" s="52">
        <v>70</v>
      </c>
      <c r="E7" s="52"/>
      <c r="F7" s="52"/>
      <c r="G7" s="52">
        <f t="shared" si="0"/>
        <v>70</v>
      </c>
      <c r="H7" s="60"/>
      <c r="I7" s="60"/>
    </row>
    <row r="8" spans="2:12">
      <c r="B8" s="17" t="s">
        <v>42</v>
      </c>
      <c r="C8" s="6" t="s">
        <v>43</v>
      </c>
      <c r="D8" s="53">
        <v>150</v>
      </c>
      <c r="E8" s="53"/>
      <c r="F8" s="53"/>
      <c r="G8" s="53">
        <f t="shared" si="0"/>
        <v>150</v>
      </c>
      <c r="H8" s="60"/>
      <c r="I8" s="60"/>
      <c r="J8" s="60"/>
    </row>
    <row r="9" spans="2:12">
      <c r="B9" s="19" t="s">
        <v>44</v>
      </c>
      <c r="C9" s="8" t="s">
        <v>45</v>
      </c>
      <c r="D9" s="54">
        <v>30</v>
      </c>
      <c r="E9" s="54"/>
      <c r="F9" s="54"/>
      <c r="G9" s="54">
        <f t="shared" si="0"/>
        <v>30</v>
      </c>
      <c r="H9" s="60"/>
      <c r="I9" s="60"/>
      <c r="J9" s="60"/>
    </row>
    <row r="10" spans="2:12">
      <c r="B10" s="20" t="s">
        <v>46</v>
      </c>
      <c r="C10" s="7" t="s">
        <v>47</v>
      </c>
      <c r="D10" s="55">
        <f>3*25</f>
        <v>75</v>
      </c>
      <c r="E10" s="55"/>
      <c r="F10" s="55"/>
      <c r="G10" s="55">
        <f t="shared" si="0"/>
        <v>75</v>
      </c>
      <c r="H10" s="60"/>
      <c r="I10" s="60"/>
    </row>
    <row r="11" spans="2:12">
      <c r="B11" s="105" t="s">
        <v>48</v>
      </c>
      <c r="C11" s="8"/>
      <c r="D11" s="54">
        <v>800</v>
      </c>
      <c r="E11" s="54"/>
      <c r="F11" s="54"/>
      <c r="G11" s="54">
        <v>800</v>
      </c>
      <c r="H11" s="60"/>
      <c r="I11" s="60"/>
    </row>
    <row r="12" spans="2:12">
      <c r="B12" s="20" t="s">
        <v>49</v>
      </c>
      <c r="C12" s="7" t="s">
        <v>50</v>
      </c>
      <c r="D12" s="55">
        <f>3*17</f>
        <v>51</v>
      </c>
      <c r="E12" s="55"/>
      <c r="F12" s="55"/>
      <c r="G12" s="55">
        <f>D12</f>
        <v>51</v>
      </c>
      <c r="H12" s="60"/>
      <c r="I12" s="60"/>
    </row>
    <row r="13" spans="2:12" ht="45.75">
      <c r="B13" s="19" t="s">
        <v>51</v>
      </c>
      <c r="C13" s="8"/>
      <c r="D13" s="54">
        <v>350</v>
      </c>
      <c r="E13" s="54"/>
      <c r="F13" s="54"/>
      <c r="G13" s="54">
        <f>D13</f>
        <v>350</v>
      </c>
      <c r="H13" s="60"/>
      <c r="I13" s="60"/>
    </row>
    <row r="14" spans="2:12">
      <c r="B14" s="20" t="s">
        <v>52</v>
      </c>
      <c r="C14" s="7"/>
      <c r="D14" s="55">
        <v>500</v>
      </c>
      <c r="E14" s="55"/>
      <c r="F14" s="55"/>
      <c r="G14" s="55">
        <v>500</v>
      </c>
      <c r="H14" s="60"/>
      <c r="I14" s="60"/>
    </row>
    <row r="15" spans="2:12">
      <c r="B15" s="19" t="s">
        <v>53</v>
      </c>
      <c r="C15" s="21" t="s">
        <v>54</v>
      </c>
      <c r="D15" s="54">
        <v>3583.82</v>
      </c>
      <c r="E15" s="161"/>
      <c r="F15" s="161"/>
      <c r="G15" s="54">
        <f>D15</f>
        <v>3583.82</v>
      </c>
      <c r="H15" s="60"/>
      <c r="I15" s="60"/>
    </row>
    <row r="16" spans="2:12">
      <c r="B16" s="3" t="s">
        <v>55</v>
      </c>
      <c r="C16" s="2"/>
      <c r="D16" s="56"/>
      <c r="E16" s="56"/>
      <c r="F16" s="56"/>
      <c r="G16" s="57">
        <f>SUM(G5:G15)</f>
        <v>5829.82</v>
      </c>
      <c r="H16" s="97"/>
      <c r="I16" s="97"/>
    </row>
    <row r="21" spans="2:4" ht="21">
      <c r="B21" s="93"/>
    </row>
    <row r="22" spans="2:4">
      <c r="D22" s="60"/>
    </row>
    <row r="23" spans="2:4">
      <c r="D23" s="60"/>
    </row>
    <row r="24" spans="2:4">
      <c r="D24" s="60"/>
    </row>
    <row r="25" spans="2:4">
      <c r="D25" s="60"/>
    </row>
    <row r="26" spans="2:4">
      <c r="D26" s="60"/>
    </row>
    <row r="27" spans="2:4">
      <c r="D27" s="60"/>
    </row>
    <row r="28" spans="2:4">
      <c r="D28" s="60"/>
    </row>
    <row r="29" spans="2:4">
      <c r="D29" s="60"/>
    </row>
    <row r="30" spans="2:4">
      <c r="D30" s="60"/>
    </row>
    <row r="32" spans="2:4">
      <c r="D32" s="60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C5E54-581C-0545-BE2A-FEC060D92480}">
  <dimension ref="B3:K15"/>
  <sheetViews>
    <sheetView zoomScale="119" workbookViewId="0">
      <selection activeCell="H9" sqref="H9"/>
    </sheetView>
  </sheetViews>
  <sheetFormatPr defaultColWidth="11.42578125" defaultRowHeight="15"/>
  <cols>
    <col min="2" max="2" width="23.7109375" customWidth="1"/>
    <col min="3" max="3" width="28.7109375" customWidth="1"/>
    <col min="5" max="5" width="7" customWidth="1"/>
    <col min="6" max="6" width="20.28515625" customWidth="1"/>
    <col min="9" max="9" width="22.28515625" customWidth="1"/>
    <col min="10" max="10" width="21.42578125" customWidth="1"/>
  </cols>
  <sheetData>
    <row r="3" spans="2:11" ht="26.1">
      <c r="B3" s="12" t="s">
        <v>362</v>
      </c>
      <c r="C3" s="12"/>
      <c r="D3" s="14"/>
      <c r="E3" s="14"/>
      <c r="F3" s="14"/>
      <c r="G3" s="14"/>
    </row>
    <row r="5" spans="2:11">
      <c r="B5" s="3" t="s">
        <v>32</v>
      </c>
      <c r="C5" s="3" t="s">
        <v>363</v>
      </c>
      <c r="D5" s="3" t="s">
        <v>364</v>
      </c>
      <c r="E5" s="3" t="s">
        <v>365</v>
      </c>
      <c r="F5" s="3" t="s">
        <v>366</v>
      </c>
      <c r="G5" s="3" t="s">
        <v>367</v>
      </c>
      <c r="H5" s="3"/>
    </row>
    <row r="6" spans="2:11" ht="16.5">
      <c r="B6" s="199" t="s">
        <v>368</v>
      </c>
      <c r="C6" s="183" t="s">
        <v>59</v>
      </c>
      <c r="D6" s="184">
        <v>12.5</v>
      </c>
      <c r="E6" s="184"/>
      <c r="F6" s="184"/>
      <c r="G6" s="184">
        <v>22.5</v>
      </c>
      <c r="H6" s="60"/>
    </row>
    <row r="7" spans="2:11" ht="15.75">
      <c r="B7" s="199"/>
      <c r="C7" s="183" t="s">
        <v>369</v>
      </c>
      <c r="D7" s="184">
        <v>10</v>
      </c>
      <c r="E7" s="184"/>
      <c r="F7" s="184"/>
      <c r="G7" s="184"/>
      <c r="H7" s="60"/>
    </row>
    <row r="8" spans="2:11">
      <c r="B8" s="105" t="s">
        <v>370</v>
      </c>
      <c r="C8" s="168" t="s">
        <v>59</v>
      </c>
      <c r="D8" s="169">
        <v>12.5</v>
      </c>
      <c r="E8" s="169"/>
      <c r="F8" s="169"/>
      <c r="G8" s="169">
        <v>17.5</v>
      </c>
    </row>
    <row r="9" spans="2:11">
      <c r="B9" s="105"/>
      <c r="C9" s="168" t="s">
        <v>371</v>
      </c>
      <c r="D9" s="169">
        <v>5</v>
      </c>
      <c r="E9" s="169"/>
      <c r="F9" s="169"/>
      <c r="G9" s="169"/>
    </row>
    <row r="10" spans="2:11">
      <c r="B10" s="200" t="s">
        <v>372</v>
      </c>
      <c r="C10" s="179" t="s">
        <v>59</v>
      </c>
      <c r="D10" s="186">
        <v>12.5</v>
      </c>
      <c r="E10" s="186"/>
      <c r="F10" s="186"/>
      <c r="G10" s="186">
        <v>12.5</v>
      </c>
      <c r="K10" s="32"/>
    </row>
    <row r="11" spans="2:11" ht="30.75">
      <c r="B11" s="105" t="s">
        <v>373</v>
      </c>
      <c r="C11" s="168" t="s">
        <v>374</v>
      </c>
      <c r="D11" s="169">
        <v>12.5</v>
      </c>
      <c r="E11" s="169"/>
      <c r="F11" s="169"/>
      <c r="G11" s="169">
        <v>12.5</v>
      </c>
    </row>
    <row r="12" spans="2:11" ht="30.75">
      <c r="B12" s="200" t="s">
        <v>375</v>
      </c>
      <c r="C12" s="179" t="s">
        <v>376</v>
      </c>
      <c r="D12" s="186">
        <v>175</v>
      </c>
      <c r="E12" s="186"/>
      <c r="F12" s="186"/>
      <c r="G12" s="186">
        <f>SUM(D12:D13)</f>
        <v>183</v>
      </c>
    </row>
    <row r="13" spans="2:11">
      <c r="B13" s="200"/>
      <c r="C13" s="179" t="s">
        <v>377</v>
      </c>
      <c r="D13" s="186">
        <v>8</v>
      </c>
      <c r="E13" s="186"/>
      <c r="F13" s="186"/>
      <c r="G13" s="186"/>
    </row>
    <row r="14" spans="2:11" ht="30.75">
      <c r="B14" s="105" t="s">
        <v>378</v>
      </c>
      <c r="C14" s="168" t="s">
        <v>59</v>
      </c>
      <c r="D14" s="169">
        <v>12.5</v>
      </c>
      <c r="E14" s="169"/>
      <c r="F14" s="169"/>
      <c r="G14" s="169">
        <v>12.5</v>
      </c>
    </row>
    <row r="15" spans="2:11">
      <c r="B15" s="170" t="s">
        <v>55</v>
      </c>
      <c r="C15" s="243"/>
      <c r="D15" s="243"/>
      <c r="E15" s="243"/>
      <c r="F15" s="243"/>
      <c r="G15" s="201">
        <f>SUM(G6:G14)</f>
        <v>260.5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21E68-BAA6-6B4E-A370-629CDC72107C}">
  <dimension ref="B5:H13"/>
  <sheetViews>
    <sheetView zoomScale="90" workbookViewId="0">
      <selection activeCell="H13" sqref="H13"/>
    </sheetView>
  </sheetViews>
  <sheetFormatPr defaultColWidth="11.42578125" defaultRowHeight="15"/>
  <cols>
    <col min="2" max="2" width="22.140625" customWidth="1"/>
    <col min="3" max="3" width="18.42578125" customWidth="1"/>
    <col min="5" max="5" width="7.7109375" customWidth="1"/>
    <col min="6" max="6" width="13.42578125" customWidth="1"/>
  </cols>
  <sheetData>
    <row r="5" spans="2:8" ht="26.1">
      <c r="B5" s="12" t="s">
        <v>21</v>
      </c>
      <c r="C5" s="12"/>
      <c r="D5" s="14"/>
      <c r="E5" s="14"/>
      <c r="F5" s="14"/>
      <c r="G5" s="14"/>
    </row>
    <row r="6" spans="2:8">
      <c r="B6" s="13"/>
      <c r="C6" s="14"/>
      <c r="D6" s="14"/>
      <c r="E6" s="14"/>
      <c r="F6" s="14"/>
      <c r="G6" s="14"/>
    </row>
    <row r="7" spans="2:8">
      <c r="B7" s="170" t="s">
        <v>32</v>
      </c>
      <c r="C7" s="171" t="s">
        <v>33</v>
      </c>
      <c r="D7" s="171" t="s">
        <v>34</v>
      </c>
      <c r="E7" s="171" t="s">
        <v>35</v>
      </c>
      <c r="F7" s="171" t="s">
        <v>36</v>
      </c>
      <c r="G7" s="171" t="s">
        <v>37</v>
      </c>
      <c r="H7" s="3"/>
    </row>
    <row r="8" spans="2:8" ht="16.5">
      <c r="B8" s="194" t="s">
        <v>379</v>
      </c>
      <c r="C8" s="209" t="s">
        <v>65</v>
      </c>
      <c r="D8" s="196">
        <v>12.5</v>
      </c>
      <c r="E8" s="196"/>
      <c r="F8" s="196"/>
      <c r="G8" s="196">
        <v>12.5</v>
      </c>
    </row>
    <row r="9" spans="2:8" ht="15.75">
      <c r="B9" s="194"/>
      <c r="C9" s="209"/>
      <c r="D9" s="196"/>
      <c r="E9" s="196"/>
      <c r="F9" s="196"/>
      <c r="G9" s="196"/>
    </row>
    <row r="10" spans="2:8" ht="16.5">
      <c r="B10" s="189" t="s">
        <v>380</v>
      </c>
      <c r="C10" s="203" t="s">
        <v>381</v>
      </c>
      <c r="D10" s="184">
        <v>200</v>
      </c>
      <c r="E10" s="184"/>
      <c r="F10" s="184"/>
      <c r="G10" s="184">
        <v>230</v>
      </c>
    </row>
    <row r="11" spans="2:8" ht="32.25">
      <c r="B11" s="189"/>
      <c r="C11" s="203" t="s">
        <v>382</v>
      </c>
      <c r="D11" s="184">
        <v>30</v>
      </c>
      <c r="E11" s="184"/>
      <c r="F11" s="184"/>
      <c r="G11" s="184"/>
    </row>
    <row r="12" spans="2:8" ht="15.75">
      <c r="B12" s="183"/>
      <c r="C12" s="183"/>
      <c r="D12" s="184"/>
      <c r="E12" s="184"/>
      <c r="F12" s="184"/>
      <c r="G12" s="184"/>
    </row>
    <row r="13" spans="2:8">
      <c r="B13" s="170" t="s">
        <v>55</v>
      </c>
      <c r="C13" s="242"/>
      <c r="D13" s="242"/>
      <c r="E13" s="242"/>
      <c r="F13" s="242"/>
      <c r="G13" s="171">
        <f>SUM(G8:G12)</f>
        <v>242.5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77878-0449-404B-9554-06B9C59AAE9F}">
  <dimension ref="B5:I26"/>
  <sheetViews>
    <sheetView zoomScale="93" workbookViewId="0">
      <selection activeCell="H17" sqref="H17:H19"/>
    </sheetView>
  </sheetViews>
  <sheetFormatPr defaultColWidth="11.42578125" defaultRowHeight="15"/>
  <cols>
    <col min="2" max="2" width="20.7109375" customWidth="1"/>
    <col min="3" max="3" width="18.140625" customWidth="1"/>
    <col min="4" max="4" width="14.7109375" customWidth="1"/>
    <col min="6" max="6" width="14" customWidth="1"/>
  </cols>
  <sheetData>
    <row r="5" spans="2:9" ht="26.1">
      <c r="B5" s="12" t="s">
        <v>383</v>
      </c>
      <c r="C5" s="15"/>
      <c r="D5" s="15"/>
      <c r="E5" s="15"/>
      <c r="F5" s="15"/>
      <c r="G5" s="15"/>
    </row>
    <row r="6" spans="2:9">
      <c r="B6" s="13"/>
      <c r="C6" s="15"/>
      <c r="D6" s="15"/>
      <c r="E6" s="15"/>
      <c r="F6" s="15"/>
      <c r="G6" s="15"/>
    </row>
    <row r="7" spans="2:9">
      <c r="B7" s="3" t="s">
        <v>32</v>
      </c>
      <c r="C7" s="61" t="s">
        <v>33</v>
      </c>
      <c r="D7" s="61" t="s">
        <v>34</v>
      </c>
      <c r="E7" s="61" t="s">
        <v>35</v>
      </c>
      <c r="F7" s="61" t="s">
        <v>36</v>
      </c>
      <c r="G7" s="61" t="s">
        <v>37</v>
      </c>
      <c r="H7" s="3"/>
      <c r="I7" s="3"/>
    </row>
    <row r="8" spans="2:9">
      <c r="B8" s="65" t="s">
        <v>384</v>
      </c>
      <c r="C8" s="62"/>
      <c r="D8" s="62"/>
      <c r="E8" s="62"/>
      <c r="F8" s="62"/>
      <c r="G8" s="62"/>
      <c r="H8" s="60"/>
      <c r="I8" s="60"/>
    </row>
    <row r="9" spans="2:9">
      <c r="B9" s="65"/>
      <c r="C9" s="62" t="s">
        <v>385</v>
      </c>
      <c r="D9" s="62">
        <v>12.5</v>
      </c>
      <c r="E9" s="62"/>
      <c r="F9" s="62"/>
      <c r="G9" s="62">
        <v>12.5</v>
      </c>
      <c r="H9" s="60"/>
      <c r="I9" s="60"/>
    </row>
    <row r="10" spans="2:9" ht="30.75">
      <c r="B10" s="66" t="s">
        <v>386</v>
      </c>
      <c r="C10" s="63" t="s">
        <v>387</v>
      </c>
      <c r="D10" s="63">
        <f>12.5*2</f>
        <v>25</v>
      </c>
      <c r="E10" s="63"/>
      <c r="F10" s="63"/>
      <c r="G10" s="63">
        <v>25</v>
      </c>
      <c r="H10" s="60"/>
      <c r="I10" s="60"/>
    </row>
    <row r="11" spans="2:9">
      <c r="B11" s="39" t="s">
        <v>388</v>
      </c>
      <c r="C11" s="115"/>
      <c r="D11" s="115"/>
      <c r="E11" s="115"/>
      <c r="F11" s="115"/>
      <c r="G11" s="115">
        <f>SUM(D11:D13)</f>
        <v>42.5</v>
      </c>
      <c r="H11" s="60"/>
      <c r="I11" s="60"/>
    </row>
    <row r="12" spans="2:9">
      <c r="B12" s="39"/>
      <c r="C12" s="115" t="s">
        <v>59</v>
      </c>
      <c r="D12" s="115">
        <v>12.5</v>
      </c>
      <c r="E12" s="115"/>
      <c r="F12" s="115"/>
      <c r="G12" s="115"/>
      <c r="H12" s="60"/>
      <c r="I12" s="60"/>
    </row>
    <row r="13" spans="2:9">
      <c r="B13" s="39"/>
      <c r="C13" s="115" t="s">
        <v>389</v>
      </c>
      <c r="D13" s="115">
        <v>30</v>
      </c>
      <c r="E13" s="115"/>
      <c r="F13" s="115"/>
      <c r="G13" s="115"/>
      <c r="H13" s="60"/>
      <c r="I13" s="60"/>
    </row>
    <row r="14" spans="2:9">
      <c r="B14" s="20" t="s">
        <v>390</v>
      </c>
      <c r="C14" s="114"/>
      <c r="D14" s="114"/>
      <c r="E14" s="114"/>
      <c r="F14" s="114"/>
      <c r="G14" s="114">
        <f>SUM(D14:D16)</f>
        <v>22.5</v>
      </c>
      <c r="H14" s="60"/>
      <c r="I14" s="60"/>
    </row>
    <row r="15" spans="2:9">
      <c r="B15" s="20"/>
      <c r="C15" s="116" t="s">
        <v>59</v>
      </c>
      <c r="D15" s="114">
        <v>12.5</v>
      </c>
      <c r="E15" s="114"/>
      <c r="F15" s="114"/>
      <c r="G15" s="114"/>
      <c r="H15" s="60"/>
      <c r="I15" s="60"/>
    </row>
    <row r="16" spans="2:9" ht="30.75">
      <c r="B16" s="20"/>
      <c r="C16" s="116" t="s">
        <v>391</v>
      </c>
      <c r="D16" s="114">
        <v>10</v>
      </c>
      <c r="E16" s="114"/>
      <c r="F16" s="114"/>
      <c r="G16" s="114"/>
      <c r="H16" s="60"/>
      <c r="I16" s="60"/>
    </row>
    <row r="17" spans="2:9">
      <c r="B17" s="19" t="s">
        <v>392</v>
      </c>
      <c r="C17" s="117"/>
      <c r="D17" s="117"/>
      <c r="E17" s="117"/>
      <c r="F17" s="117"/>
      <c r="G17" s="117">
        <f>SUM(D17:D21)</f>
        <v>137.5</v>
      </c>
      <c r="H17" s="60"/>
      <c r="I17" s="60"/>
    </row>
    <row r="18" spans="2:9">
      <c r="B18" s="19"/>
      <c r="C18" s="117" t="s">
        <v>393</v>
      </c>
      <c r="D18" s="117">
        <v>80</v>
      </c>
      <c r="E18" s="117"/>
      <c r="F18" s="117"/>
      <c r="G18" s="117"/>
      <c r="H18" s="60"/>
      <c r="I18" s="60"/>
    </row>
    <row r="19" spans="2:9">
      <c r="B19" s="19"/>
      <c r="C19" s="117" t="s">
        <v>394</v>
      </c>
      <c r="D19" s="117">
        <v>30</v>
      </c>
      <c r="E19" s="117"/>
      <c r="F19" s="117"/>
      <c r="G19" s="117"/>
      <c r="H19" s="60"/>
      <c r="I19" s="60"/>
    </row>
    <row r="20" spans="2:9">
      <c r="B20" s="19"/>
      <c r="C20" s="118" t="s">
        <v>395</v>
      </c>
      <c r="D20" s="118">
        <v>15</v>
      </c>
      <c r="E20" s="117"/>
      <c r="F20" s="117"/>
      <c r="G20" s="117"/>
      <c r="H20" s="60"/>
      <c r="I20" s="60"/>
    </row>
    <row r="21" spans="2:9">
      <c r="B21" s="19"/>
      <c r="C21" s="118" t="s">
        <v>59</v>
      </c>
      <c r="D21" s="118">
        <f>12.5</f>
        <v>12.5</v>
      </c>
      <c r="E21" s="118"/>
      <c r="F21" s="118"/>
      <c r="G21" s="118"/>
      <c r="H21" s="60"/>
      <c r="I21" s="60"/>
    </row>
    <row r="22" spans="2:9">
      <c r="B22" s="3" t="s">
        <v>55</v>
      </c>
      <c r="C22" s="64"/>
      <c r="D22" s="64"/>
      <c r="E22" s="64"/>
      <c r="F22" s="64"/>
      <c r="G22" s="61">
        <f>SUM(G8:G21)</f>
        <v>240</v>
      </c>
      <c r="H22" s="61"/>
      <c r="I22" s="61"/>
    </row>
    <row r="26" spans="2:9">
      <c r="B26" s="3"/>
      <c r="C26" s="64"/>
      <c r="D26" s="64"/>
      <c r="E26" s="64"/>
      <c r="F26" s="64"/>
      <c r="G26" s="6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4061A-E5AB-5244-94FA-B1B9EF0B2F0F}">
  <dimension ref="B4:G14"/>
  <sheetViews>
    <sheetView workbookViewId="0">
      <selection activeCell="I7" sqref="I7"/>
    </sheetView>
  </sheetViews>
  <sheetFormatPr defaultColWidth="11.42578125" defaultRowHeight="15"/>
  <cols>
    <col min="2" max="2" width="19" customWidth="1"/>
    <col min="3" max="3" width="30.140625" customWidth="1"/>
    <col min="4" max="4" width="12.85546875" customWidth="1"/>
    <col min="5" max="5" width="11" customWidth="1"/>
  </cols>
  <sheetData>
    <row r="4" spans="2:7" ht="26.1">
      <c r="B4" s="1" t="s">
        <v>396</v>
      </c>
      <c r="C4" s="2"/>
      <c r="D4" s="2"/>
      <c r="E4" s="2"/>
    </row>
    <row r="5" spans="2:7">
      <c r="C5" s="2"/>
      <c r="D5" s="2"/>
      <c r="E5" s="2"/>
    </row>
    <row r="6" spans="2:7">
      <c r="B6" s="3" t="s">
        <v>32</v>
      </c>
      <c r="C6" s="3" t="s">
        <v>33</v>
      </c>
      <c r="D6" s="3" t="s">
        <v>34</v>
      </c>
      <c r="E6" s="3" t="s">
        <v>37</v>
      </c>
      <c r="F6" s="3"/>
      <c r="G6" s="3"/>
    </row>
    <row r="7" spans="2:7">
      <c r="B7" s="39" t="s">
        <v>397</v>
      </c>
      <c r="C7" s="22"/>
      <c r="D7" s="29"/>
      <c r="E7" s="22"/>
      <c r="F7" s="60"/>
      <c r="G7" s="60"/>
    </row>
    <row r="8" spans="2:7">
      <c r="B8" s="39"/>
      <c r="C8" s="22" t="s">
        <v>398</v>
      </c>
      <c r="D8" s="29">
        <f>3*30</f>
        <v>90</v>
      </c>
      <c r="E8" s="29">
        <f>3*30</f>
        <v>90</v>
      </c>
      <c r="F8" s="60"/>
      <c r="G8" s="60"/>
    </row>
    <row r="9" spans="2:7" ht="30.75">
      <c r="B9" s="38" t="s">
        <v>399</v>
      </c>
      <c r="C9" s="23"/>
      <c r="D9" s="23"/>
      <c r="E9" s="23"/>
      <c r="F9" s="60"/>
      <c r="G9" s="60"/>
    </row>
    <row r="10" spans="2:7">
      <c r="B10" s="38"/>
      <c r="C10" s="23" t="s">
        <v>400</v>
      </c>
      <c r="D10" s="28">
        <f>60</f>
        <v>60</v>
      </c>
      <c r="E10" s="28">
        <v>60</v>
      </c>
      <c r="F10" s="60"/>
      <c r="G10" s="60"/>
    </row>
    <row r="11" spans="2:7">
      <c r="B11" s="39" t="s">
        <v>401</v>
      </c>
      <c r="C11" s="22"/>
      <c r="D11" s="22"/>
      <c r="E11" s="219">
        <f>SUM(D11:D13)</f>
        <v>90</v>
      </c>
      <c r="F11" s="60"/>
      <c r="G11" s="60"/>
    </row>
    <row r="12" spans="2:7">
      <c r="B12" s="39"/>
      <c r="C12" s="22" t="s">
        <v>402</v>
      </c>
      <c r="D12" s="31">
        <v>60</v>
      </c>
      <c r="E12" s="41"/>
      <c r="F12" s="60"/>
      <c r="G12" s="60"/>
    </row>
    <row r="13" spans="2:7">
      <c r="B13" s="39"/>
      <c r="C13" s="22" t="s">
        <v>403</v>
      </c>
      <c r="D13" s="31">
        <v>30</v>
      </c>
      <c r="E13" s="41"/>
      <c r="F13" s="60"/>
      <c r="G13" s="60"/>
    </row>
    <row r="14" spans="2:7">
      <c r="B14" s="3" t="s">
        <v>55</v>
      </c>
      <c r="C14" s="3"/>
      <c r="D14" s="3"/>
      <c r="E14" s="82">
        <f>(SUM(E8:E13))</f>
        <v>240</v>
      </c>
      <c r="F14" s="82"/>
      <c r="G14" s="8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80AA-5BAC-EF49-A927-E618A2F5AD19}">
  <dimension ref="B4:I23"/>
  <sheetViews>
    <sheetView zoomScale="75" workbookViewId="0">
      <selection activeCell="H16" sqref="H16:H19"/>
    </sheetView>
  </sheetViews>
  <sheetFormatPr defaultColWidth="11.42578125" defaultRowHeight="15"/>
  <cols>
    <col min="2" max="2" width="19.28515625" customWidth="1"/>
    <col min="3" max="3" width="18.85546875" customWidth="1"/>
    <col min="6" max="6" width="13.85546875" customWidth="1"/>
    <col min="7" max="7" width="14.7109375" customWidth="1"/>
  </cols>
  <sheetData>
    <row r="4" spans="2:9" ht="26.1">
      <c r="B4" s="12" t="s">
        <v>404</v>
      </c>
      <c r="C4" s="14"/>
      <c r="D4" s="14"/>
      <c r="E4" s="14"/>
      <c r="F4" s="14"/>
      <c r="G4" s="14"/>
    </row>
    <row r="5" spans="2:9" ht="15.95">
      <c r="B5" s="27"/>
      <c r="C5" s="27"/>
      <c r="D5" s="27"/>
      <c r="E5" s="27"/>
      <c r="F5" s="27"/>
      <c r="G5" s="27"/>
    </row>
    <row r="6" spans="2:9">
      <c r="B6" s="46" t="s">
        <v>32</v>
      </c>
      <c r="C6" s="46" t="s">
        <v>33</v>
      </c>
      <c r="D6" s="46" t="s">
        <v>34</v>
      </c>
      <c r="E6" s="46" t="s">
        <v>35</v>
      </c>
      <c r="F6" s="46" t="s">
        <v>36</v>
      </c>
      <c r="G6" s="46" t="s">
        <v>37</v>
      </c>
      <c r="H6" s="3"/>
      <c r="I6" s="3"/>
    </row>
    <row r="7" spans="2:9">
      <c r="B7" s="49" t="s">
        <v>405</v>
      </c>
      <c r="C7" s="21" t="s">
        <v>59</v>
      </c>
      <c r="D7" s="5">
        <v>12.5</v>
      </c>
      <c r="E7" s="22"/>
      <c r="F7" s="22"/>
      <c r="G7" s="5">
        <v>12.5</v>
      </c>
    </row>
    <row r="8" spans="2:9">
      <c r="B8" s="49"/>
      <c r="C8" s="21"/>
      <c r="D8" s="5"/>
      <c r="E8" s="22"/>
      <c r="F8" s="22"/>
      <c r="G8" s="44"/>
    </row>
    <row r="9" spans="2:9">
      <c r="B9" s="18"/>
      <c r="C9" s="21"/>
      <c r="D9" s="5"/>
      <c r="E9" s="22"/>
      <c r="F9" s="22"/>
      <c r="G9" s="44"/>
    </row>
    <row r="10" spans="2:9">
      <c r="B10" s="37" t="s">
        <v>406</v>
      </c>
      <c r="C10" s="24" t="s">
        <v>59</v>
      </c>
      <c r="D10" s="6">
        <v>12.5</v>
      </c>
      <c r="E10" s="23"/>
      <c r="F10" s="23"/>
      <c r="G10" s="45">
        <f>D10</f>
        <v>12.5</v>
      </c>
    </row>
    <row r="11" spans="2:9">
      <c r="B11" s="17"/>
      <c r="C11" s="24"/>
      <c r="D11" s="6"/>
      <c r="E11" s="23"/>
      <c r="F11" s="23"/>
      <c r="G11" s="45"/>
    </row>
    <row r="12" spans="2:9">
      <c r="B12" s="49" t="s">
        <v>407</v>
      </c>
      <c r="C12" s="21" t="s">
        <v>59</v>
      </c>
      <c r="D12" s="8">
        <v>12.5</v>
      </c>
      <c r="E12" s="22"/>
      <c r="F12" s="22"/>
      <c r="G12" s="44">
        <v>12.5</v>
      </c>
    </row>
    <row r="13" spans="2:9">
      <c r="B13" s="18"/>
      <c r="C13" s="30"/>
      <c r="D13" s="5"/>
      <c r="E13" s="22"/>
      <c r="F13" s="22"/>
      <c r="G13" s="44"/>
    </row>
    <row r="14" spans="2:9">
      <c r="B14" s="37" t="s">
        <v>408</v>
      </c>
      <c r="C14" s="24" t="s">
        <v>59</v>
      </c>
      <c r="D14" s="6">
        <v>12.5</v>
      </c>
      <c r="E14" s="23"/>
      <c r="F14" s="23"/>
      <c r="G14" s="45">
        <v>12.5</v>
      </c>
    </row>
    <row r="15" spans="2:9">
      <c r="B15" s="37"/>
      <c r="C15" s="24"/>
      <c r="D15" s="6"/>
      <c r="E15" s="23"/>
      <c r="F15" s="23"/>
      <c r="G15" s="45"/>
    </row>
    <row r="16" spans="2:9">
      <c r="B16" s="49" t="s">
        <v>405</v>
      </c>
      <c r="C16" s="21"/>
      <c r="D16" s="5"/>
      <c r="E16" s="25"/>
      <c r="F16" s="25"/>
      <c r="G16" s="44"/>
    </row>
    <row r="17" spans="2:9">
      <c r="B17" s="18"/>
      <c r="C17" s="21" t="s">
        <v>59</v>
      </c>
      <c r="D17" s="5">
        <v>12.5</v>
      </c>
      <c r="E17" s="22"/>
      <c r="F17" s="22"/>
      <c r="G17" s="44">
        <v>12.5</v>
      </c>
    </row>
    <row r="18" spans="2:9">
      <c r="B18" s="37" t="s">
        <v>409</v>
      </c>
      <c r="C18" s="24" t="s">
        <v>410</v>
      </c>
      <c r="D18" s="6">
        <v>120</v>
      </c>
      <c r="E18" s="23" t="s">
        <v>411</v>
      </c>
      <c r="F18" s="23">
        <f>30*4</f>
        <v>120</v>
      </c>
      <c r="G18" s="45">
        <f>SUM(D18:D19)-F18</f>
        <v>120</v>
      </c>
    </row>
    <row r="19" spans="2:9">
      <c r="B19" s="20"/>
      <c r="C19" s="24" t="s">
        <v>72</v>
      </c>
      <c r="D19" s="6">
        <v>120</v>
      </c>
      <c r="E19" s="23"/>
      <c r="F19" s="23"/>
      <c r="G19" s="45"/>
    </row>
    <row r="20" spans="2:9">
      <c r="B20" s="19" t="s">
        <v>405</v>
      </c>
      <c r="C20" s="21" t="s">
        <v>59</v>
      </c>
      <c r="D20" s="5">
        <v>12.5</v>
      </c>
      <c r="E20" s="22"/>
      <c r="F20" s="22"/>
      <c r="G20" s="44">
        <v>12.5</v>
      </c>
    </row>
    <row r="21" spans="2:9">
      <c r="B21" s="46" t="s">
        <v>55</v>
      </c>
      <c r="D21" s="2"/>
      <c r="E21" s="46"/>
      <c r="F21" s="46"/>
      <c r="G21" s="50">
        <f>SUM(G7:G20)</f>
        <v>195</v>
      </c>
      <c r="H21" s="50"/>
      <c r="I21" s="50"/>
    </row>
    <row r="22" spans="2:9">
      <c r="D22" s="2"/>
      <c r="E22" s="40"/>
      <c r="F22" s="40"/>
      <c r="G22" s="40"/>
    </row>
    <row r="23" spans="2:9">
      <c r="D23" s="14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4F538-15F2-DF41-80CC-577269BAD319}">
  <dimension ref="A3:I20"/>
  <sheetViews>
    <sheetView topLeftCell="A2" zoomScale="75" workbookViewId="0">
      <selection activeCell="I11" sqref="I11"/>
    </sheetView>
  </sheetViews>
  <sheetFormatPr defaultColWidth="11.42578125" defaultRowHeight="15"/>
  <cols>
    <col min="2" max="2" width="26.140625" customWidth="1"/>
    <col min="3" max="3" width="18.140625" customWidth="1"/>
    <col min="5" max="5" width="9" customWidth="1"/>
    <col min="6" max="6" width="13.7109375" customWidth="1"/>
  </cols>
  <sheetData>
    <row r="3" spans="1:9" ht="26.1">
      <c r="B3" s="12" t="s">
        <v>412</v>
      </c>
      <c r="C3" s="86"/>
      <c r="E3" s="86"/>
      <c r="F3" s="86"/>
      <c r="G3" s="86"/>
    </row>
    <row r="4" spans="1:9" ht="24">
      <c r="B4" s="87"/>
      <c r="C4" s="86"/>
      <c r="D4" s="88"/>
      <c r="E4" s="86"/>
      <c r="F4" s="86"/>
      <c r="G4" s="86"/>
    </row>
    <row r="5" spans="1:9">
      <c r="B5" s="46" t="s">
        <v>32</v>
      </c>
      <c r="C5" s="89" t="s">
        <v>33</v>
      </c>
      <c r="D5" s="89" t="s">
        <v>34</v>
      </c>
      <c r="E5" s="89" t="s">
        <v>35</v>
      </c>
      <c r="F5" s="89" t="s">
        <v>36</v>
      </c>
      <c r="G5" s="89" t="s">
        <v>37</v>
      </c>
      <c r="H5" s="3"/>
      <c r="I5" s="3"/>
    </row>
    <row r="6" spans="1:9">
      <c r="A6" t="s">
        <v>413</v>
      </c>
      <c r="B6" s="178" t="s">
        <v>414</v>
      </c>
      <c r="C6" s="179"/>
      <c r="D6" s="134"/>
      <c r="E6" s="134"/>
      <c r="F6" s="134"/>
      <c r="G6" s="134">
        <v>32.5</v>
      </c>
      <c r="H6" s="60"/>
      <c r="I6" s="60"/>
    </row>
    <row r="7" spans="1:9">
      <c r="B7" s="178"/>
      <c r="C7" s="179" t="s">
        <v>415</v>
      </c>
      <c r="D7" s="134">
        <v>20</v>
      </c>
      <c r="E7" s="134"/>
      <c r="F7" s="134"/>
      <c r="G7" s="134"/>
      <c r="H7" s="60"/>
      <c r="I7" s="60"/>
    </row>
    <row r="8" spans="1:9">
      <c r="B8" s="178"/>
      <c r="C8" s="179" t="s">
        <v>59</v>
      </c>
      <c r="D8" s="134">
        <v>12.5</v>
      </c>
      <c r="E8" s="134"/>
      <c r="F8" s="134"/>
      <c r="G8" s="134"/>
      <c r="H8" s="60"/>
      <c r="I8" s="60"/>
    </row>
    <row r="9" spans="1:9">
      <c r="B9" s="173" t="s">
        <v>416</v>
      </c>
      <c r="C9" s="174" t="s">
        <v>59</v>
      </c>
      <c r="D9" s="106">
        <v>12.5</v>
      </c>
      <c r="E9" s="106"/>
      <c r="F9" s="106"/>
      <c r="G9" s="106">
        <v>12.5</v>
      </c>
      <c r="H9" s="60"/>
      <c r="I9" s="60"/>
    </row>
    <row r="10" spans="1:9" ht="30.75">
      <c r="A10" t="s">
        <v>413</v>
      </c>
      <c r="B10" s="200" t="s">
        <v>417</v>
      </c>
      <c r="C10" s="179" t="s">
        <v>59</v>
      </c>
      <c r="D10" s="134">
        <v>12.5</v>
      </c>
      <c r="E10" s="134"/>
      <c r="F10" s="134"/>
      <c r="G10" s="134">
        <f>SUM(D10:D11)</f>
        <v>32.5</v>
      </c>
      <c r="H10" s="60"/>
      <c r="I10" s="60"/>
    </row>
    <row r="11" spans="1:9">
      <c r="B11" s="200"/>
      <c r="C11" s="179" t="s">
        <v>418</v>
      </c>
      <c r="D11" s="134">
        <v>20</v>
      </c>
      <c r="E11" s="134"/>
      <c r="F11" s="134"/>
      <c r="G11" s="134"/>
      <c r="H11" s="60"/>
      <c r="I11" s="60"/>
    </row>
    <row r="12" spans="1:9">
      <c r="B12" s="177" t="s">
        <v>419</v>
      </c>
      <c r="C12" s="174" t="s">
        <v>59</v>
      </c>
      <c r="D12" s="106">
        <v>12.5</v>
      </c>
      <c r="E12" s="106"/>
      <c r="F12" s="106"/>
      <c r="G12" s="106">
        <v>12.5</v>
      </c>
      <c r="H12" s="60"/>
      <c r="I12" s="60"/>
    </row>
    <row r="13" spans="1:9">
      <c r="B13" s="178" t="s">
        <v>420</v>
      </c>
      <c r="C13" s="179" t="s">
        <v>59</v>
      </c>
      <c r="D13" s="134">
        <v>12.5</v>
      </c>
      <c r="E13" s="134"/>
      <c r="F13" s="134"/>
      <c r="G13" s="134">
        <v>32.5</v>
      </c>
      <c r="H13" s="60"/>
      <c r="I13" s="60"/>
    </row>
    <row r="14" spans="1:9">
      <c r="B14" s="178"/>
      <c r="C14" s="179" t="s">
        <v>421</v>
      </c>
      <c r="D14" s="134">
        <v>20</v>
      </c>
      <c r="E14" s="134"/>
      <c r="F14" s="134"/>
      <c r="G14" s="134"/>
      <c r="H14" s="60"/>
      <c r="I14" s="60"/>
    </row>
    <row r="15" spans="1:9">
      <c r="B15" s="167" t="s">
        <v>422</v>
      </c>
      <c r="C15" s="168" t="s">
        <v>59</v>
      </c>
      <c r="D15" s="133">
        <v>12.5</v>
      </c>
      <c r="E15" s="133"/>
      <c r="F15" s="133"/>
      <c r="G15" s="133">
        <v>12.5</v>
      </c>
      <c r="H15" s="60"/>
      <c r="I15" s="60"/>
    </row>
    <row r="16" spans="1:9">
      <c r="B16" s="178" t="s">
        <v>423</v>
      </c>
      <c r="C16" s="179" t="s">
        <v>59</v>
      </c>
      <c r="D16" s="134">
        <v>12.5</v>
      </c>
      <c r="E16" s="134"/>
      <c r="F16" s="134"/>
      <c r="G16" s="134">
        <v>32.5</v>
      </c>
      <c r="H16" s="60"/>
      <c r="I16" s="60"/>
    </row>
    <row r="17" spans="2:9">
      <c r="B17" s="178"/>
      <c r="C17" s="179" t="s">
        <v>421</v>
      </c>
      <c r="D17" s="134">
        <v>20</v>
      </c>
      <c r="E17" s="134"/>
      <c r="F17" s="134"/>
      <c r="G17" s="134"/>
      <c r="H17" s="60"/>
      <c r="I17" s="60"/>
    </row>
    <row r="18" spans="2:9">
      <c r="B18" s="167" t="s">
        <v>424</v>
      </c>
      <c r="C18" s="168" t="s">
        <v>59</v>
      </c>
      <c r="D18" s="133">
        <v>12.5</v>
      </c>
      <c r="E18" s="133"/>
      <c r="F18" s="133"/>
      <c r="G18" s="133">
        <v>22.5</v>
      </c>
      <c r="H18" s="60"/>
      <c r="I18" s="60"/>
    </row>
    <row r="19" spans="2:9">
      <c r="B19" s="167"/>
      <c r="C19" s="168" t="s">
        <v>369</v>
      </c>
      <c r="D19" s="133">
        <v>10</v>
      </c>
      <c r="E19" s="133"/>
      <c r="F19" s="133"/>
      <c r="G19" s="133"/>
      <c r="H19" s="60"/>
      <c r="I19" s="60"/>
    </row>
    <row r="20" spans="2:9">
      <c r="B20" s="46" t="s">
        <v>55</v>
      </c>
      <c r="C20" s="86"/>
      <c r="D20" s="86"/>
      <c r="E20" s="86"/>
      <c r="F20" s="86"/>
      <c r="G20" s="89">
        <f>SUM(G6:G19)</f>
        <v>190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C4C0-443B-0A4D-A627-EAE5D726EA3D}">
  <dimension ref="B4:I18"/>
  <sheetViews>
    <sheetView topLeftCell="A2" zoomScale="117" workbookViewId="0">
      <selection activeCell="G9" sqref="G9"/>
    </sheetView>
  </sheetViews>
  <sheetFormatPr defaultColWidth="11.42578125" defaultRowHeight="15"/>
  <cols>
    <col min="2" max="2" width="28.85546875" customWidth="1"/>
    <col min="3" max="3" width="27.140625" customWidth="1"/>
    <col min="5" max="5" width="16.85546875" customWidth="1"/>
    <col min="6" max="6" width="13.28515625" customWidth="1"/>
  </cols>
  <sheetData>
    <row r="4" spans="2:9" ht="26.1">
      <c r="B4" s="12" t="s">
        <v>425</v>
      </c>
      <c r="C4" s="12"/>
      <c r="D4" s="12"/>
      <c r="E4" s="14"/>
      <c r="F4" s="14"/>
      <c r="G4" s="14"/>
    </row>
    <row r="5" spans="2:9">
      <c r="B5" s="13"/>
      <c r="C5" s="14"/>
      <c r="D5" s="14"/>
      <c r="E5" s="14"/>
      <c r="F5" s="14"/>
      <c r="G5" s="14"/>
    </row>
    <row r="6" spans="2:9">
      <c r="B6" s="3" t="s">
        <v>32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37</v>
      </c>
      <c r="H6" s="3"/>
      <c r="I6" s="3"/>
    </row>
    <row r="7" spans="2:9" ht="32.25">
      <c r="B7" s="208" t="s">
        <v>426</v>
      </c>
      <c r="C7" s="209"/>
      <c r="D7" s="196"/>
      <c r="E7" s="210" t="s">
        <v>427</v>
      </c>
      <c r="F7" s="196"/>
      <c r="G7" s="196">
        <f>D8</f>
        <v>12.5</v>
      </c>
    </row>
    <row r="8" spans="2:9" ht="16.5">
      <c r="B8" s="208"/>
      <c r="C8" s="209" t="s">
        <v>59</v>
      </c>
      <c r="D8" s="196">
        <v>12.5</v>
      </c>
      <c r="E8" s="196"/>
      <c r="F8" s="196"/>
      <c r="G8" s="196"/>
    </row>
    <row r="9" spans="2:9" ht="32.25">
      <c r="B9" s="211" t="s">
        <v>428</v>
      </c>
      <c r="C9" s="212"/>
      <c r="D9" s="213"/>
      <c r="E9" s="213" t="s">
        <v>429</v>
      </c>
      <c r="F9" s="213">
        <f>15*6</f>
        <v>90</v>
      </c>
      <c r="G9" s="213">
        <f>SUM(D10:D12)-F9</f>
        <v>127.5</v>
      </c>
    </row>
    <row r="10" spans="2:9" ht="16.5">
      <c r="B10" s="211"/>
      <c r="C10" s="212" t="s">
        <v>430</v>
      </c>
      <c r="D10" s="213">
        <v>115</v>
      </c>
      <c r="E10" s="213"/>
      <c r="F10" s="213"/>
      <c r="G10" s="213"/>
    </row>
    <row r="11" spans="2:9" ht="16.5">
      <c r="B11" s="211"/>
      <c r="C11" s="212" t="s">
        <v>59</v>
      </c>
      <c r="D11" s="213">
        <v>12.5</v>
      </c>
      <c r="E11" s="213"/>
      <c r="F11" s="213"/>
      <c r="G11" s="213"/>
    </row>
    <row r="12" spans="2:9" ht="16.5">
      <c r="B12" s="211"/>
      <c r="C12" s="212" t="s">
        <v>431</v>
      </c>
      <c r="D12" s="213">
        <f>15*6</f>
        <v>90</v>
      </c>
      <c r="E12" s="213"/>
      <c r="F12" s="213"/>
      <c r="G12" s="213"/>
    </row>
    <row r="13" spans="2:9" ht="16.5">
      <c r="B13" s="214" t="s">
        <v>432</v>
      </c>
      <c r="C13" s="215"/>
      <c r="D13" s="216"/>
      <c r="E13" s="217" t="s">
        <v>427</v>
      </c>
      <c r="F13" s="216" t="s">
        <v>433</v>
      </c>
      <c r="G13" s="216">
        <f>SUM(D14:D15)</f>
        <v>22.5</v>
      </c>
    </row>
    <row r="14" spans="2:9" ht="16.5">
      <c r="B14" s="214"/>
      <c r="C14" s="215" t="s">
        <v>434</v>
      </c>
      <c r="D14" s="216">
        <v>10</v>
      </c>
      <c r="E14" s="216"/>
      <c r="F14" s="216"/>
      <c r="G14" s="216"/>
    </row>
    <row r="15" spans="2:9" ht="16.5">
      <c r="B15" s="214"/>
      <c r="C15" s="215" t="s">
        <v>59</v>
      </c>
      <c r="D15" s="216">
        <v>12.5</v>
      </c>
      <c r="E15" s="216"/>
      <c r="F15" s="216"/>
      <c r="G15" s="216"/>
    </row>
    <row r="16" spans="2:9" ht="16.5">
      <c r="B16" s="211" t="s">
        <v>435</v>
      </c>
      <c r="C16" s="212"/>
      <c r="D16" s="213"/>
      <c r="E16" s="218" t="s">
        <v>427</v>
      </c>
      <c r="F16" s="213" t="s">
        <v>433</v>
      </c>
      <c r="G16" s="213">
        <v>12.5</v>
      </c>
    </row>
    <row r="17" spans="2:9" ht="16.5">
      <c r="B17" s="211"/>
      <c r="C17" s="212" t="s">
        <v>59</v>
      </c>
      <c r="D17" s="213">
        <v>12.5</v>
      </c>
      <c r="E17" s="213"/>
      <c r="F17" s="213"/>
      <c r="G17" s="213"/>
    </row>
    <row r="18" spans="2:9">
      <c r="B18" s="170" t="s">
        <v>55</v>
      </c>
      <c r="C18" s="242"/>
      <c r="D18" s="242"/>
      <c r="E18" s="242"/>
      <c r="F18" s="242"/>
      <c r="G18" s="171">
        <f>SUM(G7:G17)</f>
        <v>175</v>
      </c>
      <c r="H18" s="4"/>
      <c r="I18" s="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6022E-3406-6149-BA8D-A94EA7C4E2E2}">
  <dimension ref="B4:I15"/>
  <sheetViews>
    <sheetView topLeftCell="A3" zoomScale="75" workbookViewId="0">
      <selection activeCell="H14" sqref="H14"/>
    </sheetView>
  </sheetViews>
  <sheetFormatPr defaultColWidth="11.42578125" defaultRowHeight="15"/>
  <cols>
    <col min="2" max="2" width="29.7109375" customWidth="1"/>
    <col min="3" max="3" width="19" customWidth="1"/>
    <col min="5" max="5" width="9.140625" customWidth="1"/>
    <col min="6" max="6" width="13" customWidth="1"/>
  </cols>
  <sheetData>
    <row r="4" spans="2:9" ht="26.1">
      <c r="B4" s="12" t="s">
        <v>436</v>
      </c>
      <c r="C4" s="12"/>
      <c r="D4" s="14"/>
      <c r="E4" s="14"/>
      <c r="F4" s="14"/>
      <c r="G4" s="14"/>
    </row>
    <row r="5" spans="2:9">
      <c r="B5" s="13"/>
      <c r="C5" s="14"/>
      <c r="D5" s="14"/>
      <c r="E5" s="14"/>
      <c r="F5" s="14"/>
      <c r="G5" s="14"/>
    </row>
    <row r="6" spans="2:9">
      <c r="B6" s="3" t="s">
        <v>32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37</v>
      </c>
      <c r="H6" s="3"/>
      <c r="I6" s="3"/>
    </row>
    <row r="7" spans="2:9" ht="30.75">
      <c r="B7" s="173" t="s">
        <v>437</v>
      </c>
      <c r="C7" s="174" t="s">
        <v>59</v>
      </c>
      <c r="D7" s="197">
        <v>12.5</v>
      </c>
      <c r="E7" s="197"/>
      <c r="F7" s="197"/>
      <c r="G7" s="197">
        <v>12.5</v>
      </c>
    </row>
    <row r="8" spans="2:9" ht="30.75">
      <c r="B8" s="175" t="s">
        <v>438</v>
      </c>
      <c r="C8" s="176" t="s">
        <v>59</v>
      </c>
      <c r="D8" s="198">
        <v>12.5</v>
      </c>
      <c r="E8" s="198"/>
      <c r="F8" s="198"/>
      <c r="G8" s="198">
        <v>12.5</v>
      </c>
    </row>
    <row r="9" spans="2:9" ht="30.75">
      <c r="B9" s="173" t="s">
        <v>439</v>
      </c>
      <c r="C9" s="174" t="s">
        <v>59</v>
      </c>
      <c r="D9" s="197">
        <v>12.5</v>
      </c>
      <c r="E9" s="197"/>
      <c r="F9" s="197"/>
      <c r="G9" s="197">
        <v>12.5</v>
      </c>
    </row>
    <row r="10" spans="2:9">
      <c r="B10" s="175" t="s">
        <v>440</v>
      </c>
      <c r="C10" s="176" t="s">
        <v>59</v>
      </c>
      <c r="D10" s="198">
        <v>12.5</v>
      </c>
      <c r="E10" s="198"/>
      <c r="F10" s="198"/>
      <c r="G10" s="198">
        <v>12.5</v>
      </c>
    </row>
    <row r="11" spans="2:9" ht="64.5" customHeight="1">
      <c r="B11" s="206" t="s">
        <v>441</v>
      </c>
      <c r="C11" s="174" t="s">
        <v>59</v>
      </c>
      <c r="D11" s="197">
        <v>12.5</v>
      </c>
      <c r="E11" s="197"/>
      <c r="F11" s="197"/>
      <c r="G11" s="197">
        <v>32.5</v>
      </c>
    </row>
    <row r="12" spans="2:9">
      <c r="B12" s="173"/>
      <c r="C12" s="174" t="s">
        <v>442</v>
      </c>
      <c r="D12" s="197">
        <v>20</v>
      </c>
      <c r="E12" s="197"/>
      <c r="F12" s="197"/>
      <c r="G12" s="197"/>
    </row>
    <row r="13" spans="2:9">
      <c r="B13" s="175" t="s">
        <v>443</v>
      </c>
      <c r="C13" s="176" t="s">
        <v>444</v>
      </c>
      <c r="D13" s="198">
        <f>4*12.5</f>
        <v>50</v>
      </c>
      <c r="E13" s="198"/>
      <c r="F13" s="198"/>
      <c r="G13" s="198">
        <v>50</v>
      </c>
    </row>
    <row r="14" spans="2:9">
      <c r="B14" s="105" t="s">
        <v>445</v>
      </c>
      <c r="C14" s="168"/>
      <c r="D14" s="169">
        <v>10</v>
      </c>
      <c r="E14" s="169"/>
      <c r="F14" s="169"/>
      <c r="G14" s="169">
        <v>10</v>
      </c>
    </row>
    <row r="15" spans="2:9">
      <c r="B15" s="170" t="s">
        <v>55</v>
      </c>
      <c r="C15" s="242"/>
      <c r="D15" s="242"/>
      <c r="E15" s="242"/>
      <c r="F15" s="242"/>
      <c r="G15" s="171">
        <f>SUM(G7:G14)</f>
        <v>142.5</v>
      </c>
      <c r="H15" s="4"/>
      <c r="I15" s="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F91C-E335-8144-9570-BC9E5871635B}">
  <dimension ref="B2:G18"/>
  <sheetViews>
    <sheetView workbookViewId="0">
      <selection activeCell="E18" sqref="E18"/>
    </sheetView>
  </sheetViews>
  <sheetFormatPr defaultColWidth="11.42578125" defaultRowHeight="15"/>
  <cols>
    <col min="2" max="2" width="30.140625" customWidth="1"/>
    <col min="3" max="3" width="27.140625" customWidth="1"/>
    <col min="4" max="4" width="16.85546875" customWidth="1"/>
    <col min="5" max="5" width="25.7109375" customWidth="1"/>
  </cols>
  <sheetData>
    <row r="2" spans="2:7" ht="26.1">
      <c r="B2" s="1" t="s">
        <v>446</v>
      </c>
      <c r="C2" s="2"/>
      <c r="D2" s="2"/>
      <c r="E2" s="2"/>
    </row>
    <row r="3" spans="2:7">
      <c r="C3" s="2"/>
      <c r="D3" s="2"/>
      <c r="E3" s="2"/>
    </row>
    <row r="4" spans="2:7">
      <c r="B4" s="3" t="s">
        <v>32</v>
      </c>
      <c r="C4" s="4" t="s">
        <v>33</v>
      </c>
      <c r="D4" s="4" t="s">
        <v>34</v>
      </c>
      <c r="E4" s="4" t="s">
        <v>37</v>
      </c>
      <c r="F4" s="3"/>
    </row>
    <row r="5" spans="2:7" ht="15.75">
      <c r="B5" s="164" t="s">
        <v>447</v>
      </c>
      <c r="C5" s="165"/>
      <c r="D5" s="166"/>
      <c r="E5" s="166">
        <f>SUM(D6:D7)</f>
        <v>22.5</v>
      </c>
      <c r="F5" s="107"/>
      <c r="G5" s="107"/>
    </row>
    <row r="6" spans="2:7" ht="16.5">
      <c r="B6" s="164"/>
      <c r="C6" s="207" t="s">
        <v>59</v>
      </c>
      <c r="D6" s="166">
        <v>12.5</v>
      </c>
      <c r="E6" s="166"/>
      <c r="F6" s="107"/>
      <c r="G6" s="107"/>
    </row>
    <row r="7" spans="2:7" ht="16.5">
      <c r="B7" s="164"/>
      <c r="C7" s="207" t="s">
        <v>448</v>
      </c>
      <c r="D7" s="166">
        <v>10</v>
      </c>
      <c r="E7" s="166"/>
      <c r="F7" s="107"/>
      <c r="G7" s="107"/>
    </row>
    <row r="8" spans="2:7" ht="16.5">
      <c r="B8" s="208" t="s">
        <v>449</v>
      </c>
      <c r="C8" s="209" t="s">
        <v>65</v>
      </c>
      <c r="D8" s="196">
        <v>12.5</v>
      </c>
      <c r="E8" s="196">
        <f>SUM(D8:D12)</f>
        <v>40.5</v>
      </c>
      <c r="F8" s="107"/>
      <c r="G8" s="107"/>
    </row>
    <row r="9" spans="2:7" ht="16.5">
      <c r="B9" s="194"/>
      <c r="C9" s="209" t="s">
        <v>450</v>
      </c>
      <c r="D9" s="196">
        <v>10</v>
      </c>
      <c r="E9" s="196"/>
      <c r="F9" s="107"/>
      <c r="G9" s="107"/>
    </row>
    <row r="10" spans="2:7" ht="16.5">
      <c r="B10" s="194"/>
      <c r="C10" s="209" t="s">
        <v>451</v>
      </c>
      <c r="D10" s="196">
        <v>8</v>
      </c>
      <c r="E10" s="196"/>
      <c r="F10" s="107"/>
      <c r="G10" s="107"/>
    </row>
    <row r="11" spans="2:7" ht="15.75">
      <c r="B11" s="194"/>
      <c r="C11" s="195" t="s">
        <v>452</v>
      </c>
      <c r="D11" s="196">
        <v>5</v>
      </c>
      <c r="E11" s="196"/>
      <c r="F11" s="107"/>
      <c r="G11" s="107"/>
    </row>
    <row r="12" spans="2:7" ht="15.75">
      <c r="B12" s="194"/>
      <c r="C12" s="195" t="s">
        <v>453</v>
      </c>
      <c r="D12" s="196">
        <v>5</v>
      </c>
      <c r="E12" s="196"/>
      <c r="F12" s="107"/>
      <c r="G12" s="107"/>
    </row>
    <row r="13" spans="2:7" ht="16.5">
      <c r="B13" s="164" t="s">
        <v>454</v>
      </c>
      <c r="C13" s="207" t="s">
        <v>59</v>
      </c>
      <c r="D13" s="166">
        <v>12.5</v>
      </c>
      <c r="E13" s="166">
        <v>12.5</v>
      </c>
      <c r="F13" s="107"/>
      <c r="G13" s="107"/>
    </row>
    <row r="14" spans="2:7" ht="32.25">
      <c r="B14" s="208" t="s">
        <v>455</v>
      </c>
      <c r="C14" s="209" t="s">
        <v>65</v>
      </c>
      <c r="D14" s="196">
        <v>12.5</v>
      </c>
      <c r="E14" s="196">
        <f>SUM(D14:D16)</f>
        <v>57.5</v>
      </c>
      <c r="F14" s="107"/>
      <c r="G14" s="107"/>
    </row>
    <row r="15" spans="2:7" ht="15.75">
      <c r="B15" s="194"/>
      <c r="C15" s="195" t="s">
        <v>456</v>
      </c>
      <c r="D15" s="196">
        <v>20</v>
      </c>
      <c r="E15" s="196"/>
      <c r="F15" s="107"/>
      <c r="G15" s="107"/>
    </row>
    <row r="16" spans="2:7" ht="15.75">
      <c r="B16" s="194"/>
      <c r="C16" s="195" t="s">
        <v>457</v>
      </c>
      <c r="D16" s="196">
        <v>25</v>
      </c>
      <c r="E16" s="196"/>
      <c r="F16" s="107"/>
      <c r="G16" s="107"/>
    </row>
    <row r="17" spans="2:7" ht="15.75">
      <c r="B17" s="195"/>
      <c r="C17" s="195"/>
      <c r="D17" s="196"/>
      <c r="E17" s="196"/>
      <c r="F17" s="107"/>
      <c r="G17" s="107"/>
    </row>
    <row r="18" spans="2:7">
      <c r="B18" s="3" t="s">
        <v>55</v>
      </c>
      <c r="E18" s="4">
        <f>SUM(E5:E17)</f>
        <v>133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53C15-7494-914E-B395-CC90A047E4AB}">
  <dimension ref="B4:J24"/>
  <sheetViews>
    <sheetView topLeftCell="A2" zoomScale="75" workbookViewId="0">
      <selection activeCell="K16" sqref="K16"/>
    </sheetView>
  </sheetViews>
  <sheetFormatPr defaultColWidth="11.42578125" defaultRowHeight="15"/>
  <cols>
    <col min="2" max="2" width="20.42578125" customWidth="1"/>
    <col min="3" max="3" width="20.140625" customWidth="1"/>
    <col min="6" max="6" width="13.140625" customWidth="1"/>
  </cols>
  <sheetData>
    <row r="4" spans="2:10" ht="26.1">
      <c r="B4" s="1" t="s">
        <v>458</v>
      </c>
      <c r="C4" s="2"/>
      <c r="D4" s="2"/>
      <c r="E4" s="2"/>
      <c r="F4" s="2"/>
      <c r="G4" s="2"/>
    </row>
    <row r="5" spans="2:10">
      <c r="C5" s="2"/>
      <c r="D5" s="2"/>
      <c r="E5" s="2"/>
      <c r="F5" s="2"/>
      <c r="G5" s="2"/>
    </row>
    <row r="6" spans="2:10">
      <c r="B6" s="3" t="s">
        <v>32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37</v>
      </c>
      <c r="H6" s="3"/>
      <c r="I6" s="3"/>
    </row>
    <row r="7" spans="2:10" ht="16.5">
      <c r="B7" s="187" t="s">
        <v>459</v>
      </c>
      <c r="C7" s="180" t="s">
        <v>460</v>
      </c>
      <c r="D7" s="181">
        <f>12.5*6</f>
        <v>75</v>
      </c>
      <c r="E7" s="181"/>
      <c r="F7" s="181"/>
      <c r="G7" s="181">
        <v>75</v>
      </c>
      <c r="H7" s="60"/>
      <c r="I7" s="60"/>
    </row>
    <row r="8" spans="2:10" ht="15.75">
      <c r="B8" s="187"/>
      <c r="C8" s="180"/>
      <c r="D8" s="181"/>
      <c r="E8" s="181"/>
      <c r="F8" s="181"/>
      <c r="G8" s="181"/>
      <c r="H8" s="60"/>
      <c r="I8" s="60"/>
    </row>
    <row r="9" spans="2:10" ht="15.75">
      <c r="B9" s="187"/>
      <c r="C9" s="180"/>
      <c r="D9" s="181"/>
      <c r="E9" s="181"/>
      <c r="F9" s="181"/>
      <c r="G9" s="181"/>
      <c r="H9" s="60"/>
      <c r="I9" s="60"/>
      <c r="J9" s="60"/>
    </row>
    <row r="10" spans="2:10" ht="16.5">
      <c r="B10" s="199" t="s">
        <v>461</v>
      </c>
      <c r="C10" s="183" t="s">
        <v>59</v>
      </c>
      <c r="D10" s="184">
        <v>12.5</v>
      </c>
      <c r="E10" s="184"/>
      <c r="F10" s="184"/>
      <c r="G10" s="184">
        <v>12.5</v>
      </c>
      <c r="H10" s="60"/>
      <c r="I10" s="60"/>
    </row>
    <row r="11" spans="2:10" ht="30.75">
      <c r="B11" s="105" t="s">
        <v>462</v>
      </c>
      <c r="C11" s="168" t="s">
        <v>59</v>
      </c>
      <c r="D11" s="169">
        <v>12.5</v>
      </c>
      <c r="E11" s="169"/>
      <c r="F11" s="169"/>
      <c r="G11" s="169">
        <f>D11</f>
        <v>12.5</v>
      </c>
      <c r="H11" s="60"/>
      <c r="I11" s="60"/>
    </row>
    <row r="12" spans="2:10" ht="16.5">
      <c r="B12" s="199" t="s">
        <v>463</v>
      </c>
      <c r="C12" s="183" t="s">
        <v>59</v>
      </c>
      <c r="D12" s="184">
        <v>12.5</v>
      </c>
      <c r="E12" s="184"/>
      <c r="F12" s="184"/>
      <c r="G12" s="186">
        <f>SUM(D12:D12)</f>
        <v>12.5</v>
      </c>
      <c r="H12" s="60"/>
      <c r="I12" s="60"/>
    </row>
    <row r="13" spans="2:10">
      <c r="B13" s="170" t="s">
        <v>55</v>
      </c>
      <c r="C13" s="242"/>
      <c r="D13" s="242"/>
      <c r="E13" s="242"/>
      <c r="F13" s="242"/>
      <c r="G13" s="171">
        <f>SUM(G7:G12)</f>
        <v>112.5</v>
      </c>
      <c r="H13" s="4"/>
      <c r="I13" s="4"/>
    </row>
    <row r="14" spans="2:10">
      <c r="I14" s="60"/>
    </row>
    <row r="15" spans="2:10">
      <c r="I15" s="60"/>
    </row>
    <row r="16" spans="2:10">
      <c r="I16" s="60"/>
    </row>
    <row r="17" spans="9:9">
      <c r="I17" s="60"/>
    </row>
    <row r="18" spans="9:9">
      <c r="I18" s="60"/>
    </row>
    <row r="19" spans="9:9">
      <c r="I19" s="60"/>
    </row>
    <row r="20" spans="9:9">
      <c r="I20" s="60"/>
    </row>
    <row r="21" spans="9:9">
      <c r="I21" s="60"/>
    </row>
    <row r="22" spans="9:9">
      <c r="I22" s="60"/>
    </row>
    <row r="23" spans="9:9">
      <c r="I23" s="60"/>
    </row>
    <row r="24" spans="9:9">
      <c r="I24" s="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2FA51-D56C-F54E-8DD2-5ABD4753DA73}">
  <dimension ref="B4:I35"/>
  <sheetViews>
    <sheetView workbookViewId="0">
      <selection activeCell="K25" sqref="K25"/>
    </sheetView>
  </sheetViews>
  <sheetFormatPr defaultColWidth="11.42578125" defaultRowHeight="15"/>
  <cols>
    <col min="2" max="2" width="35.28515625" customWidth="1"/>
    <col min="3" max="3" width="31.28515625" customWidth="1"/>
    <col min="6" max="6" width="16" customWidth="1"/>
  </cols>
  <sheetData>
    <row r="4" spans="2:9" ht="26.1">
      <c r="B4" s="12" t="s">
        <v>3</v>
      </c>
      <c r="C4" s="12"/>
      <c r="D4" s="15"/>
      <c r="E4" s="15"/>
      <c r="F4" s="15"/>
      <c r="G4" s="15"/>
    </row>
    <row r="5" spans="2:9">
      <c r="B5" s="225"/>
      <c r="C5" s="103"/>
      <c r="D5" s="226"/>
      <c r="E5" s="226"/>
      <c r="F5" s="226"/>
      <c r="G5" s="226"/>
    </row>
    <row r="6" spans="2:9">
      <c r="B6" s="3" t="s">
        <v>32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37</v>
      </c>
      <c r="H6" s="3"/>
      <c r="I6" s="3"/>
    </row>
    <row r="7" spans="2:9">
      <c r="B7" s="127" t="s">
        <v>56</v>
      </c>
      <c r="C7" s="128" t="s">
        <v>57</v>
      </c>
      <c r="D7" s="129">
        <f>4*50</f>
        <v>200</v>
      </c>
      <c r="E7" s="129"/>
      <c r="F7" s="129"/>
      <c r="G7" s="129">
        <f>D7</f>
        <v>200</v>
      </c>
      <c r="H7" s="60"/>
      <c r="I7" s="60"/>
    </row>
    <row r="8" spans="2:9" ht="30.75">
      <c r="B8" s="130" t="s">
        <v>58</v>
      </c>
      <c r="C8" s="131" t="s">
        <v>59</v>
      </c>
      <c r="D8" s="132">
        <v>12.5</v>
      </c>
      <c r="E8" s="132"/>
      <c r="F8" s="132"/>
      <c r="G8" s="132">
        <f>D8</f>
        <v>12.5</v>
      </c>
      <c r="H8" s="60"/>
      <c r="I8" s="60"/>
    </row>
    <row r="9" spans="2:9">
      <c r="B9" s="127" t="s">
        <v>60</v>
      </c>
      <c r="C9" s="128" t="s">
        <v>61</v>
      </c>
      <c r="D9" s="129">
        <f>2*12.5</f>
        <v>25</v>
      </c>
      <c r="E9" s="129"/>
      <c r="F9" s="129"/>
      <c r="G9" s="129">
        <f>D9</f>
        <v>25</v>
      </c>
      <c r="H9" s="60"/>
      <c r="I9" s="60"/>
    </row>
    <row r="10" spans="2:9" ht="30.75">
      <c r="B10" s="130" t="s">
        <v>62</v>
      </c>
      <c r="C10" s="131" t="s">
        <v>61</v>
      </c>
      <c r="D10" s="132">
        <f>12.5*2</f>
        <v>25</v>
      </c>
      <c r="E10" s="132"/>
      <c r="F10" s="132"/>
      <c r="G10" s="132">
        <f>D10</f>
        <v>25</v>
      </c>
      <c r="H10" s="60"/>
      <c r="I10" s="60"/>
    </row>
    <row r="11" spans="2:9">
      <c r="B11" s="110" t="s">
        <v>63</v>
      </c>
      <c r="C11" s="101" t="s">
        <v>64</v>
      </c>
      <c r="D11" s="125">
        <v>30</v>
      </c>
      <c r="E11" s="125"/>
      <c r="F11" s="125"/>
      <c r="G11" s="125">
        <f>SUM(D11:D12)</f>
        <v>42.5</v>
      </c>
      <c r="H11" s="60"/>
      <c r="I11" s="60"/>
    </row>
    <row r="12" spans="2:9">
      <c r="B12" s="110"/>
      <c r="C12" s="101" t="s">
        <v>65</v>
      </c>
      <c r="D12" s="125">
        <v>12.5</v>
      </c>
      <c r="E12" s="125"/>
      <c r="F12" s="125"/>
      <c r="G12" s="125"/>
      <c r="H12" s="60"/>
      <c r="I12" s="60"/>
    </row>
    <row r="13" spans="2:9">
      <c r="B13" s="111" t="s">
        <v>66</v>
      </c>
      <c r="C13" s="102" t="s">
        <v>67</v>
      </c>
      <c r="D13" s="126">
        <v>20</v>
      </c>
      <c r="E13" s="126"/>
      <c r="F13" s="126"/>
      <c r="G13" s="126">
        <f>SUM(D13:D15)</f>
        <v>95.5</v>
      </c>
      <c r="H13" s="60"/>
      <c r="I13" s="60"/>
    </row>
    <row r="14" spans="2:9">
      <c r="B14" s="111"/>
      <c r="C14" s="102" t="s">
        <v>65</v>
      </c>
      <c r="D14" s="126">
        <v>12.5</v>
      </c>
      <c r="E14" s="126"/>
      <c r="F14" s="126"/>
      <c r="G14" s="126"/>
      <c r="H14" s="60"/>
      <c r="I14" s="60"/>
    </row>
    <row r="15" spans="2:9" ht="30.75" customHeight="1">
      <c r="B15" s="111"/>
      <c r="C15" s="108" t="s">
        <v>68</v>
      </c>
      <c r="D15" s="126">
        <v>63</v>
      </c>
      <c r="E15" s="126"/>
      <c r="F15" s="126"/>
      <c r="G15" s="126"/>
      <c r="H15" s="60"/>
      <c r="I15" s="60"/>
    </row>
    <row r="16" spans="2:9">
      <c r="B16" s="110" t="s">
        <v>69</v>
      </c>
      <c r="C16" s="101" t="s">
        <v>67</v>
      </c>
      <c r="D16" s="125">
        <v>20</v>
      </c>
      <c r="E16" s="125"/>
      <c r="F16" s="125"/>
      <c r="G16" s="125">
        <f>SUM(D16:D17)</f>
        <v>32.5</v>
      </c>
      <c r="H16" s="60"/>
      <c r="I16" s="60"/>
    </row>
    <row r="17" spans="2:9">
      <c r="B17" s="110"/>
      <c r="C17" s="101" t="s">
        <v>65</v>
      </c>
      <c r="D17" s="125">
        <v>12.5</v>
      </c>
      <c r="E17" s="125"/>
      <c r="F17" s="125"/>
      <c r="G17" s="125"/>
      <c r="H17" s="97"/>
      <c r="I17" s="97"/>
    </row>
    <row r="18" spans="2:9">
      <c r="B18" s="110"/>
      <c r="C18" s="101"/>
      <c r="D18" s="125"/>
      <c r="E18" s="125"/>
      <c r="F18" s="125"/>
      <c r="G18" s="125"/>
      <c r="H18" s="60"/>
      <c r="I18" s="60"/>
    </row>
    <row r="19" spans="2:9">
      <c r="B19" s="130" t="s">
        <v>70</v>
      </c>
      <c r="C19" s="131" t="s">
        <v>71</v>
      </c>
      <c r="D19" s="132">
        <v>800</v>
      </c>
      <c r="E19" s="132"/>
      <c r="F19" s="132"/>
      <c r="G19" s="132">
        <f>SUM(D19:D22)</f>
        <v>1200</v>
      </c>
      <c r="H19" s="60"/>
      <c r="I19" s="60"/>
    </row>
    <row r="20" spans="2:9">
      <c r="B20" s="130"/>
      <c r="C20" s="131" t="s">
        <v>72</v>
      </c>
      <c r="D20" s="132">
        <v>50</v>
      </c>
      <c r="E20" s="132"/>
      <c r="F20" s="132"/>
      <c r="G20" s="132"/>
      <c r="H20" s="60"/>
      <c r="I20" s="60"/>
    </row>
    <row r="21" spans="2:9">
      <c r="B21" s="130"/>
      <c r="C21" s="131" t="s">
        <v>73</v>
      </c>
      <c r="D21" s="132">
        <v>50</v>
      </c>
      <c r="E21" s="132"/>
      <c r="F21" s="132"/>
      <c r="G21" s="132"/>
      <c r="H21" s="4"/>
      <c r="I21" s="4"/>
    </row>
    <row r="22" spans="2:9" ht="45.75">
      <c r="B22" s="130"/>
      <c r="C22" s="145" t="s">
        <v>74</v>
      </c>
      <c r="D22" s="132">
        <v>300</v>
      </c>
      <c r="E22" s="132"/>
      <c r="F22" s="132"/>
      <c r="G22" s="132"/>
    </row>
    <row r="23" spans="2:9">
      <c r="B23" s="127" t="s">
        <v>75</v>
      </c>
      <c r="C23" s="146"/>
      <c r="D23" s="129"/>
      <c r="E23" s="129" t="s">
        <v>76</v>
      </c>
      <c r="F23" s="129">
        <f>16*15</f>
        <v>240</v>
      </c>
      <c r="G23" s="129">
        <f>(SUM(D23:D27)-F23)</f>
        <v>1406</v>
      </c>
    </row>
    <row r="24" spans="2:9" ht="30.75">
      <c r="B24" s="127"/>
      <c r="C24" s="146" t="s">
        <v>77</v>
      </c>
      <c r="D24" s="129">
        <f>20*30</f>
        <v>600</v>
      </c>
      <c r="E24" s="129"/>
      <c r="F24" s="129"/>
      <c r="G24" s="129"/>
    </row>
    <row r="25" spans="2:9" ht="45.75">
      <c r="B25" s="127"/>
      <c r="C25" s="146" t="s">
        <v>78</v>
      </c>
      <c r="D25" s="129">
        <f>(1050*0.23)*4</f>
        <v>966</v>
      </c>
      <c r="E25" s="129"/>
      <c r="F25" s="129"/>
      <c r="G25" s="129"/>
    </row>
    <row r="26" spans="2:9" ht="30.75">
      <c r="B26" s="127"/>
      <c r="C26" s="146" t="s">
        <v>79</v>
      </c>
      <c r="D26" s="129">
        <f>10*4</f>
        <v>40</v>
      </c>
      <c r="E26" s="129"/>
      <c r="F26" s="129"/>
      <c r="G26" s="129"/>
    </row>
    <row r="27" spans="2:9">
      <c r="B27" s="127"/>
      <c r="C27" s="146" t="s">
        <v>80</v>
      </c>
      <c r="D27" s="129">
        <f>4*10</f>
        <v>40</v>
      </c>
      <c r="E27" s="129"/>
      <c r="F27" s="129"/>
      <c r="G27" s="129"/>
    </row>
    <row r="28" spans="2:9">
      <c r="B28" s="130" t="s">
        <v>81</v>
      </c>
      <c r="C28" s="145" t="s">
        <v>82</v>
      </c>
      <c r="D28" s="132">
        <f>12*15</f>
        <v>180</v>
      </c>
      <c r="E28" s="132"/>
      <c r="F28" s="132"/>
      <c r="G28" s="132">
        <f>D28</f>
        <v>180</v>
      </c>
    </row>
    <row r="29" spans="2:9" ht="60.75">
      <c r="B29" s="127" t="s">
        <v>83</v>
      </c>
      <c r="C29" s="146" t="s">
        <v>84</v>
      </c>
      <c r="D29" s="129">
        <f>26*20</f>
        <v>520</v>
      </c>
      <c r="E29" s="129" t="s">
        <v>85</v>
      </c>
      <c r="F29" s="129">
        <f>16*20</f>
        <v>320</v>
      </c>
      <c r="G29" s="129">
        <v>0</v>
      </c>
      <c r="H29" s="60"/>
    </row>
    <row r="30" spans="2:9">
      <c r="B30" s="127"/>
      <c r="C30" s="146" t="s">
        <v>86</v>
      </c>
      <c r="D30" s="129">
        <f>5*20</f>
        <v>100</v>
      </c>
      <c r="E30" s="129"/>
      <c r="F30" s="129"/>
      <c r="G30" s="129"/>
    </row>
    <row r="31" spans="2:9" ht="30.75">
      <c r="B31" s="130" t="s">
        <v>87</v>
      </c>
      <c r="C31" s="145" t="s">
        <v>88</v>
      </c>
      <c r="D31" s="132">
        <f>20*20</f>
        <v>400</v>
      </c>
      <c r="E31" s="132" t="s">
        <v>89</v>
      </c>
      <c r="F31" s="132">
        <f>10*20</f>
        <v>200</v>
      </c>
      <c r="G31" s="132">
        <f>D31-F31</f>
        <v>200</v>
      </c>
    </row>
    <row r="32" spans="2:9">
      <c r="B32" s="3" t="s">
        <v>55</v>
      </c>
      <c r="C32" s="2"/>
      <c r="D32" s="2"/>
      <c r="E32" s="2"/>
      <c r="F32" s="2"/>
      <c r="G32" s="4">
        <f>SUM(G7:G31)</f>
        <v>3419</v>
      </c>
    </row>
    <row r="35" spans="2:7">
      <c r="B35" s="3"/>
      <c r="C35" s="2"/>
      <c r="D35" s="2"/>
      <c r="E35" s="2"/>
      <c r="F35" s="2"/>
      <c r="G3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6BB43-8375-6348-BD0B-8342BD86F4C7}">
  <dimension ref="B3:L21"/>
  <sheetViews>
    <sheetView zoomScale="69" zoomScaleNormal="80" workbookViewId="0">
      <selection activeCell="H25" sqref="H25"/>
    </sheetView>
  </sheetViews>
  <sheetFormatPr defaultColWidth="11.42578125" defaultRowHeight="15"/>
  <cols>
    <col min="2" max="2" width="27.28515625" customWidth="1"/>
    <col min="3" max="3" width="30.140625" customWidth="1"/>
    <col min="4" max="4" width="13.85546875" customWidth="1"/>
    <col min="6" max="6" width="14.28515625" customWidth="1"/>
  </cols>
  <sheetData>
    <row r="3" spans="2:12" ht="26.1">
      <c r="B3" s="12" t="s">
        <v>5</v>
      </c>
      <c r="C3" s="14"/>
      <c r="D3" s="14"/>
      <c r="E3" s="14"/>
      <c r="F3" s="14"/>
      <c r="G3" s="14"/>
    </row>
    <row r="4" spans="2:12">
      <c r="B4" s="13"/>
      <c r="C4" s="14"/>
      <c r="D4" s="14"/>
      <c r="E4" s="14"/>
      <c r="F4" s="14"/>
      <c r="G4" s="14"/>
      <c r="L4" s="3"/>
    </row>
    <row r="5" spans="2:12">
      <c r="B5" s="3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4" t="s">
        <v>37</v>
      </c>
      <c r="H5" s="3"/>
      <c r="I5" s="3"/>
      <c r="K5" s="92"/>
    </row>
    <row r="6" spans="2:12">
      <c r="B6" s="177" t="s">
        <v>38</v>
      </c>
      <c r="C6" s="174" t="s">
        <v>90</v>
      </c>
      <c r="D6" s="197">
        <f>4*50</f>
        <v>200</v>
      </c>
      <c r="E6" s="197"/>
      <c r="F6" s="197"/>
      <c r="G6" s="197">
        <f>D6</f>
        <v>200</v>
      </c>
      <c r="H6" s="60"/>
      <c r="I6" s="60"/>
    </row>
    <row r="7" spans="2:12">
      <c r="B7" s="178" t="s">
        <v>91</v>
      </c>
      <c r="C7" s="179"/>
      <c r="D7" s="186"/>
      <c r="E7" s="186"/>
      <c r="F7" s="186"/>
      <c r="G7" s="186"/>
      <c r="H7" s="60"/>
      <c r="I7" s="60"/>
    </row>
    <row r="8" spans="2:12">
      <c r="B8" s="178"/>
      <c r="C8" s="179" t="s">
        <v>92</v>
      </c>
      <c r="D8" s="186">
        <v>1000</v>
      </c>
      <c r="E8" s="186">
        <v>0.5</v>
      </c>
      <c r="F8" s="186">
        <v>450</v>
      </c>
      <c r="G8" s="186"/>
      <c r="H8" s="60"/>
      <c r="I8" s="60"/>
    </row>
    <row r="9" spans="2:12">
      <c r="B9" s="178"/>
      <c r="C9" s="179" t="s">
        <v>93</v>
      </c>
      <c r="D9" s="186">
        <v>300</v>
      </c>
      <c r="E9" s="186"/>
      <c r="F9" s="186"/>
      <c r="G9" s="186">
        <f>SUM(D8:D9)-F8</f>
        <v>850</v>
      </c>
      <c r="H9" s="60"/>
      <c r="I9" s="60"/>
      <c r="J9" s="91"/>
    </row>
    <row r="10" spans="2:12">
      <c r="B10" s="177" t="s">
        <v>94</v>
      </c>
      <c r="C10" s="174"/>
      <c r="D10" s="197"/>
      <c r="E10" s="197"/>
      <c r="F10" s="197"/>
      <c r="G10" s="197"/>
      <c r="H10" s="60"/>
      <c r="I10" s="60"/>
    </row>
    <row r="11" spans="2:12" ht="30.75">
      <c r="B11" s="177"/>
      <c r="C11" s="205" t="s">
        <v>95</v>
      </c>
      <c r="D11" s="197">
        <v>200</v>
      </c>
      <c r="E11" s="197"/>
      <c r="F11" s="197"/>
      <c r="G11" s="197">
        <f>D11</f>
        <v>200</v>
      </c>
      <c r="H11" s="60"/>
      <c r="I11" s="60"/>
      <c r="J11" s="91"/>
    </row>
    <row r="12" spans="2:12">
      <c r="B12" s="200" t="s">
        <v>96</v>
      </c>
      <c r="C12" s="179" t="s">
        <v>97</v>
      </c>
      <c r="D12" s="186">
        <v>200</v>
      </c>
      <c r="E12" s="186"/>
      <c r="F12" s="186"/>
      <c r="G12" s="186">
        <v>200</v>
      </c>
      <c r="H12" s="60"/>
      <c r="I12" s="60"/>
    </row>
    <row r="13" spans="2:12">
      <c r="B13" s="105" t="s">
        <v>98</v>
      </c>
      <c r="C13" s="168" t="s">
        <v>99</v>
      </c>
      <c r="D13" s="169">
        <v>250</v>
      </c>
      <c r="E13" s="169"/>
      <c r="F13" s="169"/>
      <c r="G13" s="169">
        <v>250</v>
      </c>
      <c r="H13" s="60"/>
      <c r="I13" s="60"/>
    </row>
    <row r="14" spans="2:12" ht="30.75">
      <c r="B14" s="200" t="s">
        <v>100</v>
      </c>
      <c r="C14" s="224" t="s">
        <v>101</v>
      </c>
      <c r="D14" s="186">
        <v>200</v>
      </c>
      <c r="E14" s="186"/>
      <c r="F14" s="186"/>
      <c r="G14" s="186">
        <v>200</v>
      </c>
      <c r="H14" s="60"/>
      <c r="I14" s="60"/>
    </row>
    <row r="15" spans="2:12">
      <c r="B15" s="105" t="s">
        <v>102</v>
      </c>
      <c r="C15" s="168" t="s">
        <v>103</v>
      </c>
      <c r="D15" s="169">
        <v>300</v>
      </c>
      <c r="E15" s="169"/>
      <c r="F15" s="169"/>
      <c r="G15" s="169">
        <v>300</v>
      </c>
      <c r="H15" s="60"/>
      <c r="I15" s="60"/>
    </row>
    <row r="16" spans="2:12">
      <c r="B16" s="200" t="s">
        <v>104</v>
      </c>
      <c r="C16" s="179" t="s">
        <v>105</v>
      </c>
      <c r="D16" s="186">
        <v>30</v>
      </c>
      <c r="E16" s="186"/>
      <c r="F16" s="186"/>
      <c r="G16" s="186">
        <v>30</v>
      </c>
      <c r="H16" s="60"/>
      <c r="I16" s="60"/>
      <c r="K16" s="98"/>
    </row>
    <row r="17" spans="2:11">
      <c r="B17" s="105" t="s">
        <v>106</v>
      </c>
      <c r="C17" s="168" t="s">
        <v>107</v>
      </c>
      <c r="D17" s="169">
        <v>450</v>
      </c>
      <c r="E17" s="169"/>
      <c r="F17" s="169"/>
      <c r="G17" s="169">
        <v>450</v>
      </c>
      <c r="H17" s="60"/>
      <c r="I17" s="60"/>
      <c r="K17" s="98"/>
    </row>
    <row r="18" spans="2:11">
      <c r="B18" s="200" t="s">
        <v>108</v>
      </c>
      <c r="C18" s="179"/>
      <c r="D18" s="186"/>
      <c r="E18" s="186"/>
      <c r="F18" s="186"/>
      <c r="G18" s="186">
        <f>SUM(D18:D20)</f>
        <v>50</v>
      </c>
      <c r="H18" s="60"/>
      <c r="I18" s="60"/>
      <c r="K18" s="98"/>
    </row>
    <row r="19" spans="2:11">
      <c r="B19" s="200"/>
      <c r="C19" s="179" t="s">
        <v>109</v>
      </c>
      <c r="D19" s="186">
        <v>40</v>
      </c>
      <c r="E19" s="186"/>
      <c r="F19" s="186"/>
      <c r="G19" s="186"/>
      <c r="H19" s="60"/>
      <c r="I19" s="60"/>
    </row>
    <row r="20" spans="2:11">
      <c r="B20" s="224"/>
      <c r="C20" s="179" t="s">
        <v>110</v>
      </c>
      <c r="D20" s="186">
        <v>10</v>
      </c>
      <c r="E20" s="186"/>
      <c r="F20" s="186"/>
      <c r="G20" s="186"/>
      <c r="H20" s="60"/>
      <c r="I20" s="60"/>
    </row>
    <row r="21" spans="2:11">
      <c r="B21" s="3" t="s">
        <v>55</v>
      </c>
      <c r="C21" s="2"/>
      <c r="D21" s="2"/>
      <c r="E21" s="2"/>
      <c r="F21" s="2"/>
      <c r="G21" s="4">
        <f>SUM(G6:G20)</f>
        <v>2730</v>
      </c>
      <c r="H21" s="4"/>
      <c r="I21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25E8-B9C6-A14A-A299-8FC7FE7FF4D4}">
  <dimension ref="B3:I31"/>
  <sheetViews>
    <sheetView zoomScale="125" workbookViewId="0">
      <selection activeCell="H19" sqref="H19"/>
    </sheetView>
  </sheetViews>
  <sheetFormatPr defaultColWidth="11.42578125" defaultRowHeight="15"/>
  <cols>
    <col min="2" max="2" width="19.28515625" customWidth="1"/>
    <col min="3" max="3" width="41.42578125" customWidth="1"/>
    <col min="6" max="6" width="13.28515625" customWidth="1"/>
    <col min="7" max="7" width="14.7109375" customWidth="1"/>
  </cols>
  <sheetData>
    <row r="3" spans="2:9" ht="26.1">
      <c r="B3" s="1" t="s">
        <v>111</v>
      </c>
      <c r="C3" s="2"/>
      <c r="D3" s="2"/>
      <c r="E3" s="2"/>
      <c r="F3" s="2"/>
      <c r="G3" s="2"/>
    </row>
    <row r="4" spans="2:9">
      <c r="C4" s="2"/>
      <c r="D4" s="2"/>
      <c r="E4" s="2"/>
      <c r="F4" s="2"/>
      <c r="G4" s="2"/>
    </row>
    <row r="5" spans="2:9">
      <c r="B5" s="170" t="s">
        <v>32</v>
      </c>
      <c r="C5" s="171" t="s">
        <v>33</v>
      </c>
      <c r="D5" s="171" t="s">
        <v>34</v>
      </c>
      <c r="E5" s="171" t="s">
        <v>35</v>
      </c>
      <c r="F5" s="171" t="s">
        <v>36</v>
      </c>
      <c r="G5" s="171" t="s">
        <v>112</v>
      </c>
      <c r="H5" s="170" t="s">
        <v>113</v>
      </c>
      <c r="I5" s="3"/>
    </row>
    <row r="6" spans="2:9">
      <c r="B6" s="232" t="s">
        <v>114</v>
      </c>
      <c r="C6" s="233" t="s">
        <v>115</v>
      </c>
      <c r="D6" s="234">
        <v>905</v>
      </c>
      <c r="E6" s="234"/>
      <c r="F6" s="234"/>
      <c r="G6" s="234"/>
      <c r="H6" s="234">
        <v>905</v>
      </c>
    </row>
    <row r="7" spans="2:9" ht="32.25">
      <c r="B7" s="199" t="s">
        <v>116</v>
      </c>
      <c r="C7" s="203"/>
      <c r="D7" s="184"/>
      <c r="E7" s="184" t="s">
        <v>117</v>
      </c>
      <c r="F7" s="184">
        <f>17*200</f>
        <v>3400</v>
      </c>
      <c r="G7" s="184">
        <v>300</v>
      </c>
      <c r="H7" s="184">
        <f>(SUM(D8:D12)-(F7+G7))</f>
        <v>2055</v>
      </c>
    </row>
    <row r="8" spans="2:9" ht="32.25">
      <c r="B8" s="199"/>
      <c r="C8" s="203" t="s">
        <v>118</v>
      </c>
      <c r="D8" s="184">
        <v>4150</v>
      </c>
      <c r="E8" s="184"/>
      <c r="F8" s="184"/>
      <c r="G8" s="184"/>
      <c r="H8" s="184"/>
    </row>
    <row r="9" spans="2:9" ht="16.5">
      <c r="B9" s="199"/>
      <c r="C9" s="203" t="s">
        <v>119</v>
      </c>
      <c r="D9" s="184">
        <v>600</v>
      </c>
      <c r="E9" s="184"/>
      <c r="F9" s="184"/>
      <c r="G9" s="184"/>
      <c r="H9" s="184"/>
    </row>
    <row r="10" spans="2:9" ht="16.5">
      <c r="B10" s="199"/>
      <c r="C10" s="203" t="s">
        <v>120</v>
      </c>
      <c r="D10" s="184">
        <v>130</v>
      </c>
      <c r="E10" s="184"/>
      <c r="F10" s="184"/>
      <c r="G10" s="184"/>
      <c r="H10" s="184"/>
    </row>
    <row r="11" spans="2:9" ht="16.5">
      <c r="B11" s="199"/>
      <c r="C11" s="203" t="s">
        <v>121</v>
      </c>
      <c r="D11" s="184">
        <v>25</v>
      </c>
      <c r="E11" s="184"/>
      <c r="F11" s="184"/>
      <c r="G11" s="184"/>
      <c r="H11" s="184"/>
    </row>
    <row r="12" spans="2:9" ht="16.5">
      <c r="B12" s="199"/>
      <c r="C12" s="203" t="s">
        <v>122</v>
      </c>
      <c r="D12" s="184">
        <v>850</v>
      </c>
      <c r="E12" s="184"/>
      <c r="F12" s="184"/>
      <c r="G12" s="184"/>
      <c r="H12" s="184"/>
    </row>
    <row r="13" spans="2:9" ht="32.25">
      <c r="B13" s="187" t="s">
        <v>123</v>
      </c>
      <c r="C13" s="202" t="s">
        <v>124</v>
      </c>
      <c r="D13" s="181">
        <v>360</v>
      </c>
      <c r="E13" s="181"/>
      <c r="F13" s="181"/>
      <c r="G13" s="181"/>
      <c r="H13" s="181">
        <v>360</v>
      </c>
    </row>
    <row r="14" spans="2:9">
      <c r="B14" s="170" t="s">
        <v>55</v>
      </c>
      <c r="C14" s="242"/>
      <c r="D14" s="242"/>
      <c r="E14" s="242"/>
      <c r="F14" s="242"/>
      <c r="G14" s="171"/>
      <c r="H14" s="171">
        <f>SUM(H6:H13)</f>
        <v>3320</v>
      </c>
      <c r="I14" s="4"/>
    </row>
    <row r="17" spans="2:8">
      <c r="B17" s="153"/>
      <c r="C17" s="153"/>
      <c r="D17" s="153"/>
      <c r="E17" s="153"/>
      <c r="F17" s="153"/>
      <c r="G17" s="153"/>
    </row>
    <row r="18" spans="2:8">
      <c r="B18" s="103"/>
      <c r="C18" s="103"/>
      <c r="D18" s="103"/>
      <c r="E18" s="103"/>
      <c r="F18" s="103"/>
      <c r="G18" s="103"/>
    </row>
    <row r="19" spans="2:8">
      <c r="B19" s="103"/>
      <c r="C19" s="103"/>
      <c r="D19" s="103"/>
      <c r="E19" s="103"/>
      <c r="F19" s="103"/>
      <c r="G19" s="103"/>
    </row>
    <row r="20" spans="2:8">
      <c r="B20" s="153"/>
      <c r="C20" s="103"/>
      <c r="D20" s="103"/>
      <c r="E20" s="103"/>
      <c r="F20" s="103"/>
      <c r="G20" s="153"/>
    </row>
    <row r="23" spans="2:8">
      <c r="B23" s="104"/>
      <c r="C23" s="104"/>
      <c r="D23" s="104"/>
      <c r="E23" s="104"/>
      <c r="F23" s="104"/>
      <c r="G23" s="104"/>
      <c r="H23" s="104"/>
    </row>
    <row r="24" spans="2:8" ht="15.75">
      <c r="B24" s="107"/>
      <c r="C24" s="107"/>
      <c r="D24" s="107"/>
      <c r="E24" s="107"/>
      <c r="F24" s="107"/>
      <c r="G24" s="107"/>
      <c r="H24" s="107"/>
    </row>
    <row r="25" spans="2:8" ht="15.75">
      <c r="B25" s="107"/>
      <c r="C25" s="107"/>
      <c r="D25" s="107"/>
      <c r="E25" s="107"/>
      <c r="F25" s="107"/>
      <c r="G25" s="107"/>
      <c r="H25" s="107"/>
    </row>
    <row r="26" spans="2:8" ht="15.75">
      <c r="B26" s="107"/>
      <c r="C26" s="107"/>
      <c r="D26" s="107"/>
      <c r="E26" s="107"/>
      <c r="F26" s="107"/>
      <c r="G26" s="107"/>
      <c r="H26" s="107"/>
    </row>
    <row r="27" spans="2:8" ht="15.75">
      <c r="B27" s="107"/>
      <c r="C27" s="107"/>
      <c r="D27" s="107"/>
      <c r="E27" s="107"/>
      <c r="F27" s="107"/>
      <c r="G27" s="107"/>
      <c r="H27" s="107"/>
    </row>
    <row r="28" spans="2:8" ht="15.75">
      <c r="B28" s="107"/>
      <c r="C28" s="107"/>
      <c r="D28" s="107"/>
      <c r="E28" s="107"/>
      <c r="F28" s="107"/>
      <c r="G28" s="107"/>
      <c r="H28" s="107"/>
    </row>
    <row r="29" spans="2:8" ht="15.75">
      <c r="B29" s="107"/>
      <c r="C29" s="107"/>
      <c r="D29" s="107"/>
      <c r="E29" s="107"/>
      <c r="F29" s="107"/>
      <c r="G29" s="107"/>
      <c r="H29" s="107"/>
    </row>
    <row r="30" spans="2:8" ht="15.75">
      <c r="B30" s="107"/>
      <c r="C30" s="107"/>
      <c r="D30" s="107"/>
      <c r="E30" s="107"/>
      <c r="F30" s="107"/>
      <c r="G30" s="107"/>
      <c r="H30" s="107"/>
    </row>
    <row r="31" spans="2:8" ht="15.75">
      <c r="B31" s="107"/>
      <c r="C31" s="107"/>
      <c r="D31" s="107"/>
      <c r="E31" s="107"/>
      <c r="F31" s="107"/>
      <c r="G31" s="107"/>
      <c r="H31" s="10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A7FB-24A7-4E7A-ABB1-D8003953FDE6}">
  <dimension ref="B4:I14"/>
  <sheetViews>
    <sheetView zoomScale="125" workbookViewId="0">
      <selection activeCell="H10" sqref="H10"/>
    </sheetView>
  </sheetViews>
  <sheetFormatPr defaultColWidth="11.42578125" defaultRowHeight="15"/>
  <cols>
    <col min="2" max="2" width="21.28515625" customWidth="1"/>
    <col min="3" max="3" width="39" customWidth="1"/>
    <col min="4" max="4" width="10" bestFit="1" customWidth="1"/>
    <col min="5" max="5" width="9.140625"/>
    <col min="6" max="6" width="13" customWidth="1"/>
  </cols>
  <sheetData>
    <row r="4" spans="2:9" ht="26.1">
      <c r="B4" s="1" t="s">
        <v>6</v>
      </c>
      <c r="C4" s="2"/>
      <c r="D4" s="2"/>
      <c r="E4" s="2"/>
      <c r="F4" s="2"/>
      <c r="G4" s="2"/>
    </row>
    <row r="5" spans="2:9">
      <c r="B5" s="243"/>
      <c r="C5" s="242"/>
      <c r="D5" s="242"/>
      <c r="E5" s="242"/>
      <c r="F5" s="242"/>
      <c r="G5" s="242"/>
    </row>
    <row r="6" spans="2:9">
      <c r="B6" s="170" t="s">
        <v>32</v>
      </c>
      <c r="C6" s="171" t="s">
        <v>33</v>
      </c>
      <c r="D6" s="171" t="s">
        <v>34</v>
      </c>
      <c r="E6" s="171" t="s">
        <v>35</v>
      </c>
      <c r="F6" s="171" t="s">
        <v>36</v>
      </c>
      <c r="G6" s="171" t="s">
        <v>37</v>
      </c>
      <c r="H6" s="3"/>
      <c r="I6" s="3"/>
    </row>
    <row r="7" spans="2:9" ht="30.75">
      <c r="B7" s="173" t="s">
        <v>125</v>
      </c>
      <c r="C7" s="174" t="s">
        <v>126</v>
      </c>
      <c r="D7" s="197">
        <f>3*63.6</f>
        <v>190.8</v>
      </c>
      <c r="E7" s="197"/>
      <c r="F7" s="197"/>
      <c r="G7" s="197">
        <f>D7</f>
        <v>190.8</v>
      </c>
    </row>
    <row r="8" spans="2:9">
      <c r="B8" s="200" t="s">
        <v>127</v>
      </c>
      <c r="C8" s="179"/>
      <c r="D8" s="186"/>
      <c r="E8" s="186"/>
      <c r="F8" s="186"/>
      <c r="G8" s="186"/>
    </row>
    <row r="9" spans="2:9">
      <c r="B9" s="200"/>
      <c r="C9" s="179" t="s">
        <v>128</v>
      </c>
      <c r="D9" s="186">
        <v>1000</v>
      </c>
      <c r="E9" s="186"/>
      <c r="F9" s="186"/>
      <c r="G9" s="186"/>
      <c r="H9" s="60"/>
    </row>
    <row r="10" spans="2:9">
      <c r="B10" s="200"/>
      <c r="C10" s="179" t="s">
        <v>129</v>
      </c>
      <c r="D10" s="186">
        <f>17*60</f>
        <v>1020</v>
      </c>
      <c r="E10" s="186"/>
      <c r="F10" s="186"/>
      <c r="G10" s="186"/>
    </row>
    <row r="11" spans="2:9">
      <c r="B11" s="200"/>
      <c r="C11" s="179" t="s">
        <v>130</v>
      </c>
      <c r="D11" s="186">
        <v>64</v>
      </c>
      <c r="E11" s="186"/>
      <c r="F11" s="186"/>
      <c r="G11" s="186">
        <f>SUM(D9:D11)</f>
        <v>2084</v>
      </c>
    </row>
    <row r="12" spans="2:9">
      <c r="B12" s="105" t="s">
        <v>131</v>
      </c>
      <c r="C12" s="204" t="s">
        <v>132</v>
      </c>
      <c r="D12" s="169" t="s">
        <v>133</v>
      </c>
      <c r="E12" s="169"/>
      <c r="F12" s="169"/>
      <c r="G12" s="169">
        <f>15*10</f>
        <v>150</v>
      </c>
    </row>
    <row r="13" spans="2:9">
      <c r="B13" s="200" t="s">
        <v>134</v>
      </c>
      <c r="C13" s="179" t="s">
        <v>135</v>
      </c>
      <c r="D13" s="186">
        <f>4*15</f>
        <v>60</v>
      </c>
      <c r="E13" s="186"/>
      <c r="F13" s="186"/>
      <c r="G13" s="186">
        <f>D13</f>
        <v>60</v>
      </c>
      <c r="H13" s="4"/>
      <c r="I13" s="4"/>
    </row>
    <row r="14" spans="2:9">
      <c r="B14" s="170" t="s">
        <v>55</v>
      </c>
      <c r="C14" s="242"/>
      <c r="D14" s="242"/>
      <c r="E14" s="242"/>
      <c r="F14" s="242"/>
      <c r="G14" s="171">
        <f>SUM(G7:G13)</f>
        <v>2484.8000000000002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0E10-A2F2-B64F-B3FF-5DB5509759E8}">
  <dimension ref="B3:K27"/>
  <sheetViews>
    <sheetView zoomScale="75" workbookViewId="0">
      <selection activeCell="I17" sqref="I17"/>
    </sheetView>
  </sheetViews>
  <sheetFormatPr defaultColWidth="11.42578125" defaultRowHeight="15"/>
  <cols>
    <col min="2" max="2" width="20.5703125" customWidth="1"/>
    <col min="3" max="3" width="31.85546875" customWidth="1"/>
    <col min="6" max="6" width="14.7109375" customWidth="1"/>
  </cols>
  <sheetData>
    <row r="3" spans="2:11" ht="26.1">
      <c r="B3" s="12" t="s">
        <v>7</v>
      </c>
      <c r="C3" s="14"/>
      <c r="D3" s="14"/>
      <c r="E3" s="14"/>
      <c r="F3" s="14"/>
      <c r="G3" s="14"/>
    </row>
    <row r="4" spans="2:11">
      <c r="B4" s="13"/>
      <c r="C4" s="14"/>
      <c r="D4" s="14"/>
      <c r="E4" s="14"/>
      <c r="F4" s="14"/>
      <c r="G4" s="14"/>
    </row>
    <row r="5" spans="2:11">
      <c r="B5" s="3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4" t="s">
        <v>37</v>
      </c>
      <c r="H5" s="3"/>
      <c r="I5" s="3"/>
    </row>
    <row r="6" spans="2:11">
      <c r="B6" s="222" t="s">
        <v>136</v>
      </c>
      <c r="C6" s="123" t="s">
        <v>137</v>
      </c>
      <c r="D6" s="148">
        <f>14*30</f>
        <v>420</v>
      </c>
      <c r="E6" s="148"/>
      <c r="F6" s="148"/>
      <c r="G6" s="149">
        <f>SUM(D6:D7)</f>
        <v>1260</v>
      </c>
      <c r="H6" s="60"/>
      <c r="I6" s="60"/>
      <c r="J6" s="60"/>
    </row>
    <row r="7" spans="2:11">
      <c r="B7" s="222"/>
      <c r="C7" s="123" t="s">
        <v>138</v>
      </c>
      <c r="D7" s="148">
        <f>(14*15*4)</f>
        <v>840</v>
      </c>
      <c r="E7" s="148"/>
      <c r="F7" s="148"/>
      <c r="G7" s="150"/>
      <c r="H7" s="60"/>
      <c r="I7" s="60"/>
      <c r="J7" s="60"/>
    </row>
    <row r="8" spans="2:11">
      <c r="B8" s="222"/>
      <c r="C8" s="123"/>
      <c r="D8" s="148"/>
      <c r="E8" s="148"/>
      <c r="F8" s="148"/>
      <c r="G8" s="150"/>
      <c r="H8" s="60"/>
      <c r="I8" s="60"/>
      <c r="J8" s="60"/>
    </row>
    <row r="9" spans="2:11">
      <c r="B9" s="223" t="s">
        <v>139</v>
      </c>
      <c r="C9" s="124" t="s">
        <v>140</v>
      </c>
      <c r="D9" s="151">
        <f>24*15</f>
        <v>360</v>
      </c>
      <c r="E9" s="151"/>
      <c r="F9" s="151"/>
      <c r="G9" s="152"/>
      <c r="H9" s="60"/>
      <c r="I9" s="60"/>
      <c r="J9" s="60"/>
    </row>
    <row r="10" spans="2:11">
      <c r="B10" s="223"/>
      <c r="C10" s="124" t="s">
        <v>141</v>
      </c>
      <c r="D10" s="151">
        <f>3*30</f>
        <v>90</v>
      </c>
      <c r="E10" s="151"/>
      <c r="F10" s="151"/>
      <c r="G10" s="152">
        <f>SUM(D9:D10)</f>
        <v>450</v>
      </c>
      <c r="H10" s="60"/>
      <c r="I10" s="60"/>
      <c r="J10" s="60"/>
    </row>
    <row r="11" spans="2:11">
      <c r="B11" s="222" t="s">
        <v>142</v>
      </c>
      <c r="C11" s="123" t="s">
        <v>143</v>
      </c>
      <c r="D11" s="148">
        <v>255</v>
      </c>
      <c r="E11" s="148"/>
      <c r="F11" s="148"/>
      <c r="G11" s="150"/>
      <c r="H11" s="60"/>
      <c r="I11" s="60"/>
    </row>
    <row r="12" spans="2:11">
      <c r="B12" s="222"/>
      <c r="C12" s="123" t="s">
        <v>144</v>
      </c>
      <c r="D12" s="148">
        <v>100</v>
      </c>
      <c r="E12" s="148"/>
      <c r="F12" s="148"/>
      <c r="G12" s="150">
        <f>SUM(D11:D12)</f>
        <v>355</v>
      </c>
      <c r="H12" s="60"/>
      <c r="I12" s="60"/>
    </row>
    <row r="13" spans="2:11">
      <c r="B13" s="223" t="s">
        <v>145</v>
      </c>
      <c r="C13" s="124" t="s">
        <v>146</v>
      </c>
      <c r="D13" s="151">
        <v>510</v>
      </c>
      <c r="E13" s="151">
        <v>23</v>
      </c>
      <c r="F13" s="151">
        <v>345</v>
      </c>
      <c r="G13" s="152"/>
      <c r="H13" s="60"/>
      <c r="I13" s="60"/>
    </row>
    <row r="14" spans="2:11">
      <c r="B14" s="223"/>
      <c r="C14" s="124" t="s">
        <v>147</v>
      </c>
      <c r="D14" s="151">
        <v>60</v>
      </c>
      <c r="E14" s="151"/>
      <c r="F14" s="151"/>
      <c r="G14" s="151">
        <f>SUM(D13:D14)-F13</f>
        <v>225</v>
      </c>
      <c r="H14" s="60"/>
      <c r="I14" s="60"/>
    </row>
    <row r="15" spans="2:11">
      <c r="B15" s="222" t="s">
        <v>148</v>
      </c>
      <c r="C15" s="123" t="s">
        <v>149</v>
      </c>
      <c r="D15" s="148">
        <v>108</v>
      </c>
      <c r="E15" s="148">
        <v>3</v>
      </c>
      <c r="F15" s="148">
        <f>3*18</f>
        <v>54</v>
      </c>
      <c r="G15" s="148">
        <f>D15-F15</f>
        <v>54</v>
      </c>
      <c r="H15" s="60"/>
      <c r="I15" s="60"/>
      <c r="K15" s="60"/>
    </row>
    <row r="16" spans="2:11">
      <c r="B16" s="3" t="s">
        <v>55</v>
      </c>
      <c r="C16" s="2"/>
      <c r="D16" s="2"/>
      <c r="E16" s="2"/>
      <c r="F16" s="2"/>
      <c r="G16" s="4">
        <f>SUM(G6:G15)</f>
        <v>2344</v>
      </c>
      <c r="H16" s="4"/>
      <c r="I16" s="4"/>
    </row>
    <row r="18" spans="2:8">
      <c r="B18" s="94"/>
    </row>
    <row r="19" spans="2:8">
      <c r="B19" s="3"/>
      <c r="C19" s="3"/>
      <c r="D19" s="3"/>
      <c r="E19" s="3"/>
    </row>
    <row r="20" spans="2:8">
      <c r="B20" s="78"/>
      <c r="D20" s="78"/>
    </row>
    <row r="21" spans="2:8">
      <c r="H21" s="91"/>
    </row>
    <row r="22" spans="2:8">
      <c r="H22" s="60"/>
    </row>
    <row r="27" spans="2:8">
      <c r="B27" s="3"/>
      <c r="C27" s="2"/>
      <c r="D27" s="2"/>
      <c r="E27" s="2"/>
      <c r="F27" s="2"/>
      <c r="G27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350A6-C1BA-A74D-B5D6-D0F510C79AE1}">
  <dimension ref="B4:K29"/>
  <sheetViews>
    <sheetView topLeftCell="A3" zoomScale="82" zoomScaleNormal="70" workbookViewId="0">
      <selection activeCell="H13" sqref="H13"/>
    </sheetView>
  </sheetViews>
  <sheetFormatPr defaultColWidth="11.42578125" defaultRowHeight="15"/>
  <cols>
    <col min="2" max="2" width="24" customWidth="1"/>
    <col min="3" max="3" width="25.140625" customWidth="1"/>
    <col min="5" max="5" width="18.42578125" customWidth="1"/>
    <col min="6" max="6" width="17.7109375" customWidth="1"/>
  </cols>
  <sheetData>
    <row r="4" spans="2:11" ht="26.1">
      <c r="B4" s="12" t="s">
        <v>150</v>
      </c>
      <c r="C4" s="14"/>
      <c r="D4" s="14"/>
      <c r="E4" s="14"/>
      <c r="F4" s="14"/>
      <c r="G4" s="14"/>
    </row>
    <row r="5" spans="2:11">
      <c r="B5" s="13"/>
      <c r="C5" s="14"/>
      <c r="D5" s="14"/>
      <c r="E5" s="14"/>
      <c r="F5" s="14"/>
      <c r="G5" s="14"/>
    </row>
    <row r="6" spans="2:11">
      <c r="B6" s="3" t="s">
        <v>32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37</v>
      </c>
      <c r="H6" s="3"/>
      <c r="I6" s="3"/>
    </row>
    <row r="7" spans="2:11" ht="15.75">
      <c r="B7" s="48" t="s">
        <v>151</v>
      </c>
      <c r="C7" s="5" t="s">
        <v>152</v>
      </c>
      <c r="D7" s="5">
        <v>15</v>
      </c>
      <c r="E7" s="5"/>
      <c r="F7" s="5"/>
      <c r="G7" s="5">
        <v>15</v>
      </c>
      <c r="I7" s="60"/>
    </row>
    <row r="8" spans="2:11">
      <c r="B8" s="18"/>
      <c r="C8" s="5"/>
      <c r="D8" s="5"/>
      <c r="E8" s="5"/>
      <c r="F8" s="5"/>
      <c r="G8" s="5"/>
      <c r="I8" s="60"/>
    </row>
    <row r="9" spans="2:11">
      <c r="B9" s="39"/>
      <c r="C9" s="5"/>
      <c r="D9" s="5"/>
      <c r="E9" s="5"/>
      <c r="F9" s="5"/>
      <c r="G9" s="5"/>
      <c r="I9" s="60"/>
    </row>
    <row r="10" spans="2:11" ht="16.5">
      <c r="B10" s="43" t="s">
        <v>153</v>
      </c>
      <c r="C10" s="6"/>
      <c r="D10" s="6"/>
      <c r="E10" s="6"/>
      <c r="F10" s="6"/>
      <c r="G10" s="6">
        <f>SUM(D11:D12)</f>
        <v>250</v>
      </c>
      <c r="I10" s="60"/>
    </row>
    <row r="11" spans="2:11">
      <c r="B11" s="38"/>
      <c r="C11" s="6" t="s">
        <v>154</v>
      </c>
      <c r="D11" s="6">
        <v>50</v>
      </c>
      <c r="E11" s="6"/>
      <c r="F11" s="6"/>
      <c r="G11" s="6"/>
      <c r="I11" s="60"/>
    </row>
    <row r="12" spans="2:11">
      <c r="B12" s="38"/>
      <c r="C12" s="6" t="s">
        <v>155</v>
      </c>
      <c r="D12" s="6">
        <v>200</v>
      </c>
      <c r="E12" s="6"/>
      <c r="F12" s="6"/>
      <c r="G12" s="6"/>
      <c r="I12" s="60"/>
      <c r="J12" s="60"/>
    </row>
    <row r="13" spans="2:11" ht="16.5">
      <c r="B13" s="42" t="s">
        <v>156</v>
      </c>
      <c r="C13" s="5"/>
      <c r="D13" s="5"/>
      <c r="E13" s="5" t="s">
        <v>157</v>
      </c>
      <c r="F13" s="5">
        <f>(20*11)+(100*17.5)+(60*24)</f>
        <v>3410</v>
      </c>
      <c r="G13" s="5">
        <f>SUM(D13:D18)-F13</f>
        <v>333</v>
      </c>
      <c r="H13" s="2"/>
      <c r="I13" s="60"/>
      <c r="K13" s="60"/>
    </row>
    <row r="14" spans="2:11">
      <c r="B14" s="39" t="s">
        <v>158</v>
      </c>
      <c r="C14" s="16" t="s">
        <v>159</v>
      </c>
      <c r="D14" s="5">
        <v>2638</v>
      </c>
      <c r="E14" s="5" t="s">
        <v>160</v>
      </c>
      <c r="F14" s="5"/>
      <c r="G14" s="5"/>
      <c r="I14" s="60"/>
      <c r="J14" s="60"/>
    </row>
    <row r="15" spans="2:11" ht="45.75">
      <c r="B15" s="39"/>
      <c r="C15" s="16" t="s">
        <v>161</v>
      </c>
      <c r="D15" s="5">
        <v>650</v>
      </c>
      <c r="E15" s="5" t="s">
        <v>162</v>
      </c>
      <c r="F15" s="5"/>
      <c r="G15" s="5"/>
      <c r="I15" s="60"/>
      <c r="J15" s="60"/>
    </row>
    <row r="16" spans="2:11">
      <c r="B16" s="39"/>
      <c r="C16" s="5" t="s">
        <v>155</v>
      </c>
      <c r="D16" s="5">
        <v>200</v>
      </c>
      <c r="E16" s="5"/>
      <c r="F16" s="5"/>
      <c r="G16" s="5"/>
      <c r="I16" s="60"/>
      <c r="J16" s="60"/>
    </row>
    <row r="17" spans="2:10">
      <c r="B17" s="39"/>
      <c r="C17" s="5" t="s">
        <v>163</v>
      </c>
      <c r="D17" s="5">
        <v>55</v>
      </c>
      <c r="E17" s="5"/>
      <c r="F17" s="5"/>
      <c r="G17" s="5"/>
      <c r="I17" s="60"/>
      <c r="J17" s="60"/>
    </row>
    <row r="18" spans="2:10">
      <c r="B18" s="39"/>
      <c r="C18" s="5" t="s">
        <v>164</v>
      </c>
      <c r="D18" s="5">
        <v>200</v>
      </c>
      <c r="E18" s="5"/>
      <c r="F18" s="5"/>
      <c r="G18" s="5"/>
      <c r="I18" s="60"/>
    </row>
    <row r="19" spans="2:10" ht="22.5" customHeight="1">
      <c r="B19" s="43" t="s">
        <v>165</v>
      </c>
      <c r="C19" s="6"/>
      <c r="D19" s="6"/>
      <c r="E19" s="6" t="s">
        <v>166</v>
      </c>
      <c r="F19" s="6">
        <f>(50*9)+(150*11.5)+(200*16)</f>
        <v>5375</v>
      </c>
      <c r="G19" s="6">
        <f>SUM(D20:D23)-F19</f>
        <v>472.82999999999993</v>
      </c>
      <c r="I19" s="60"/>
    </row>
    <row r="20" spans="2:10">
      <c r="B20" s="38"/>
      <c r="C20" s="6" t="s">
        <v>119</v>
      </c>
      <c r="D20" s="6">
        <v>900</v>
      </c>
      <c r="E20" s="6" t="s">
        <v>167</v>
      </c>
      <c r="F20" s="6"/>
      <c r="G20" s="6"/>
      <c r="I20" s="4"/>
    </row>
    <row r="21" spans="2:10">
      <c r="B21" s="38"/>
      <c r="C21" s="6" t="s">
        <v>155</v>
      </c>
      <c r="D21" s="6">
        <v>200</v>
      </c>
      <c r="E21" s="6" t="s">
        <v>168</v>
      </c>
      <c r="F21" s="6"/>
      <c r="G21" s="6"/>
    </row>
    <row r="22" spans="2:10">
      <c r="B22" s="38"/>
      <c r="C22" s="6" t="s">
        <v>169</v>
      </c>
      <c r="D22" s="6">
        <v>4697.83</v>
      </c>
      <c r="E22" s="6"/>
      <c r="F22" s="6"/>
      <c r="G22" s="6"/>
    </row>
    <row r="23" spans="2:10">
      <c r="B23" s="38"/>
      <c r="C23" s="6" t="s">
        <v>170</v>
      </c>
      <c r="D23" s="6">
        <v>50</v>
      </c>
      <c r="E23" s="6"/>
      <c r="F23" s="6"/>
      <c r="G23" s="6"/>
      <c r="J23" s="2"/>
    </row>
    <row r="24" spans="2:10" ht="16.5">
      <c r="B24" s="42" t="s">
        <v>171</v>
      </c>
      <c r="C24" s="5"/>
      <c r="D24" s="5"/>
      <c r="E24" s="5" t="s">
        <v>172</v>
      </c>
      <c r="F24" s="5">
        <f>(30*10)+(180*11.5)+(90*14)</f>
        <v>3630</v>
      </c>
      <c r="G24" s="5">
        <f>SUM(D25:D28)-F24</f>
        <v>500</v>
      </c>
    </row>
    <row r="25" spans="2:10">
      <c r="B25" s="39"/>
      <c r="C25" s="5" t="s">
        <v>155</v>
      </c>
      <c r="D25" s="5">
        <v>200</v>
      </c>
      <c r="E25" s="5" t="s">
        <v>173</v>
      </c>
      <c r="F25" s="5"/>
      <c r="G25" s="5"/>
    </row>
    <row r="26" spans="2:10">
      <c r="B26" s="39"/>
      <c r="C26" s="5" t="s">
        <v>119</v>
      </c>
      <c r="D26" s="5">
        <v>750</v>
      </c>
      <c r="E26" s="5" t="s">
        <v>174</v>
      </c>
      <c r="F26" s="5"/>
      <c r="G26" s="5"/>
      <c r="H26" s="2"/>
    </row>
    <row r="27" spans="2:10">
      <c r="B27" s="18"/>
      <c r="C27" s="5" t="s">
        <v>170</v>
      </c>
      <c r="D27" s="5">
        <v>180</v>
      </c>
      <c r="E27" s="5"/>
      <c r="F27" s="5"/>
      <c r="G27" s="5"/>
    </row>
    <row r="28" spans="2:10">
      <c r="B28" s="18"/>
      <c r="C28" s="5" t="s">
        <v>169</v>
      </c>
      <c r="D28" s="5">
        <v>3000</v>
      </c>
      <c r="E28" s="5"/>
      <c r="F28" s="5"/>
      <c r="G28" s="5"/>
    </row>
    <row r="29" spans="2:10">
      <c r="B29" s="3" t="s">
        <v>55</v>
      </c>
      <c r="C29" s="2"/>
      <c r="D29" s="2"/>
      <c r="E29" s="2"/>
      <c r="F29" s="2"/>
      <c r="G29" s="4">
        <f>SUM(G7:G27)</f>
        <v>1570.83</v>
      </c>
      <c r="H29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232A-45A4-2A48-9286-440204DC1C70}">
  <dimension ref="B2:J32"/>
  <sheetViews>
    <sheetView zoomScale="75" zoomScaleNormal="80" workbookViewId="0">
      <selection activeCell="J17" sqref="J17"/>
    </sheetView>
  </sheetViews>
  <sheetFormatPr defaultColWidth="11.42578125" defaultRowHeight="15"/>
  <cols>
    <col min="2" max="2" width="29.28515625" customWidth="1"/>
    <col min="3" max="3" width="35.28515625" customWidth="1"/>
    <col min="6" max="6" width="13.42578125" customWidth="1"/>
  </cols>
  <sheetData>
    <row r="2" spans="2:9" ht="26.1">
      <c r="B2" s="1" t="s">
        <v>175</v>
      </c>
      <c r="C2" s="2"/>
      <c r="D2" s="2"/>
      <c r="E2" s="2"/>
      <c r="F2" s="2"/>
      <c r="G2" s="2"/>
    </row>
    <row r="3" spans="2:9">
      <c r="C3" s="2"/>
      <c r="D3" s="2"/>
      <c r="E3" s="2"/>
      <c r="F3" s="2"/>
      <c r="G3" s="2"/>
    </row>
    <row r="4" spans="2:9">
      <c r="B4" s="68" t="s">
        <v>32</v>
      </c>
      <c r="C4" s="68" t="s">
        <v>33</v>
      </c>
      <c r="D4" s="69" t="s">
        <v>34</v>
      </c>
      <c r="E4" s="70" t="s">
        <v>35</v>
      </c>
      <c r="F4" s="70" t="s">
        <v>36</v>
      </c>
      <c r="G4" s="70" t="s">
        <v>37</v>
      </c>
      <c r="H4" s="72"/>
      <c r="I4" s="3"/>
    </row>
    <row r="5" spans="2:9" ht="60.75">
      <c r="B5" s="143" t="s">
        <v>176</v>
      </c>
      <c r="C5" s="119" t="s">
        <v>177</v>
      </c>
      <c r="D5" s="135" t="s">
        <v>178</v>
      </c>
      <c r="E5" s="136" t="s">
        <v>179</v>
      </c>
      <c r="F5" s="136">
        <v>60</v>
      </c>
      <c r="G5" s="136" t="s">
        <v>178</v>
      </c>
      <c r="H5" s="99"/>
      <c r="I5" s="60"/>
    </row>
    <row r="6" spans="2:9">
      <c r="B6" s="143" t="s">
        <v>180</v>
      </c>
      <c r="C6" s="119" t="s">
        <v>181</v>
      </c>
      <c r="D6" s="135">
        <v>50</v>
      </c>
      <c r="E6" s="136" t="s">
        <v>178</v>
      </c>
      <c r="F6" s="136" t="s">
        <v>178</v>
      </c>
      <c r="G6" s="136" t="s">
        <v>178</v>
      </c>
      <c r="H6" s="99"/>
      <c r="I6" s="60"/>
    </row>
    <row r="7" spans="2:9">
      <c r="B7" s="143" t="s">
        <v>178</v>
      </c>
      <c r="C7" s="119" t="s">
        <v>182</v>
      </c>
      <c r="D7" s="135">
        <v>35</v>
      </c>
      <c r="E7" s="136" t="s">
        <v>178</v>
      </c>
      <c r="F7" s="136" t="s">
        <v>178</v>
      </c>
      <c r="G7" s="136">
        <f>SUM(D6:D7)-F5</f>
        <v>25</v>
      </c>
      <c r="H7" s="99"/>
      <c r="I7" s="60"/>
    </row>
    <row r="8" spans="2:9" ht="45.75">
      <c r="B8" s="144" t="s">
        <v>183</v>
      </c>
      <c r="C8" s="120" t="s">
        <v>177</v>
      </c>
      <c r="D8" s="137" t="s">
        <v>178</v>
      </c>
      <c r="E8" s="138" t="s">
        <v>184</v>
      </c>
      <c r="F8" s="138">
        <f>20*7.5</f>
        <v>150</v>
      </c>
      <c r="G8" s="138" t="s">
        <v>178</v>
      </c>
      <c r="H8" s="99"/>
      <c r="I8" s="60"/>
    </row>
    <row r="9" spans="2:9">
      <c r="B9" s="144" t="s">
        <v>178</v>
      </c>
      <c r="C9" s="120" t="s">
        <v>185</v>
      </c>
      <c r="D9" s="137">
        <v>250</v>
      </c>
      <c r="E9" s="138" t="s">
        <v>178</v>
      </c>
      <c r="F9" s="138" t="s">
        <v>178</v>
      </c>
      <c r="G9" s="138">
        <f>D9-F8</f>
        <v>100</v>
      </c>
      <c r="H9" s="99"/>
      <c r="I9" s="60"/>
    </row>
    <row r="10" spans="2:9" ht="30.75">
      <c r="B10" s="143" t="s">
        <v>186</v>
      </c>
      <c r="C10" s="119" t="s">
        <v>178</v>
      </c>
      <c r="D10" s="135" t="s">
        <v>178</v>
      </c>
      <c r="E10" s="136" t="s">
        <v>187</v>
      </c>
      <c r="F10" s="136" t="s">
        <v>187</v>
      </c>
      <c r="G10" s="136" t="s">
        <v>178</v>
      </c>
      <c r="H10" s="99"/>
      <c r="I10" s="60"/>
    </row>
    <row r="11" spans="2:9">
      <c r="B11" s="143" t="s">
        <v>180</v>
      </c>
      <c r="C11" s="119" t="s">
        <v>188</v>
      </c>
      <c r="D11" s="135">
        <v>50</v>
      </c>
      <c r="E11" s="136" t="s">
        <v>178</v>
      </c>
      <c r="F11" s="136" t="s">
        <v>178</v>
      </c>
      <c r="G11" s="136">
        <v>50</v>
      </c>
      <c r="I11" s="60"/>
    </row>
    <row r="12" spans="2:9" ht="30.75">
      <c r="B12" s="144" t="s">
        <v>189</v>
      </c>
      <c r="C12" s="120" t="s">
        <v>190</v>
      </c>
      <c r="D12" s="137">
        <f>15*7.5</f>
        <v>112.5</v>
      </c>
      <c r="E12" s="138" t="s">
        <v>191</v>
      </c>
      <c r="F12" s="138">
        <f>15*5</f>
        <v>75</v>
      </c>
      <c r="G12" s="138" t="s">
        <v>178</v>
      </c>
      <c r="H12" s="99"/>
      <c r="I12" s="60"/>
    </row>
    <row r="13" spans="2:9">
      <c r="B13" s="144" t="s">
        <v>178</v>
      </c>
      <c r="C13" s="120"/>
      <c r="D13" s="137"/>
      <c r="E13" s="138" t="s">
        <v>178</v>
      </c>
      <c r="F13" s="138" t="s">
        <v>178</v>
      </c>
      <c r="G13" s="138">
        <f>D12-F12</f>
        <v>37.5</v>
      </c>
      <c r="H13" s="99"/>
      <c r="I13" s="60"/>
    </row>
    <row r="14" spans="2:9" ht="45.75">
      <c r="B14" s="130" t="s">
        <v>192</v>
      </c>
      <c r="C14" s="145" t="s">
        <v>193</v>
      </c>
      <c r="D14" s="227" t="s">
        <v>178</v>
      </c>
      <c r="E14" s="228" t="s">
        <v>194</v>
      </c>
      <c r="F14" s="228">
        <v>126</v>
      </c>
      <c r="G14" s="228" t="s">
        <v>178</v>
      </c>
      <c r="H14" s="99"/>
      <c r="I14" s="60"/>
    </row>
    <row r="15" spans="2:9">
      <c r="B15" s="130" t="s">
        <v>180</v>
      </c>
      <c r="C15" s="145" t="s">
        <v>195</v>
      </c>
      <c r="D15" s="227">
        <f>0.23*150*5</f>
        <v>172.5</v>
      </c>
      <c r="E15" s="228" t="s">
        <v>178</v>
      </c>
      <c r="F15" s="228" t="s">
        <v>178</v>
      </c>
      <c r="G15" s="228" t="s">
        <v>178</v>
      </c>
      <c r="H15" s="99"/>
      <c r="I15" s="60"/>
    </row>
    <row r="16" spans="2:9" ht="30.75">
      <c r="B16" s="130" t="s">
        <v>178</v>
      </c>
      <c r="C16" s="145" t="s">
        <v>196</v>
      </c>
      <c r="D16" s="227">
        <v>50</v>
      </c>
      <c r="E16" s="228" t="s">
        <v>178</v>
      </c>
      <c r="F16" s="228" t="s">
        <v>178</v>
      </c>
      <c r="G16" s="228" t="s">
        <v>178</v>
      </c>
      <c r="H16" s="99"/>
      <c r="I16" s="60"/>
    </row>
    <row r="17" spans="2:10">
      <c r="B17" s="130" t="s">
        <v>178</v>
      </c>
      <c r="C17" s="145" t="s">
        <v>197</v>
      </c>
      <c r="D17" s="227">
        <v>50</v>
      </c>
      <c r="E17" s="228" t="s">
        <v>178</v>
      </c>
      <c r="F17" s="228" t="s">
        <v>178</v>
      </c>
      <c r="G17" s="228" t="s">
        <v>178</v>
      </c>
      <c r="H17" s="99"/>
      <c r="I17" s="60"/>
    </row>
    <row r="18" spans="2:10">
      <c r="B18" s="130" t="s">
        <v>178</v>
      </c>
      <c r="C18" s="145" t="s">
        <v>198</v>
      </c>
      <c r="D18" s="227">
        <v>20</v>
      </c>
      <c r="E18" s="228" t="s">
        <v>178</v>
      </c>
      <c r="F18" s="228" t="s">
        <v>178</v>
      </c>
      <c r="G18" s="228">
        <f>SUM(D14:D18)-F14</f>
        <v>166.5</v>
      </c>
      <c r="H18" s="99"/>
      <c r="I18" s="60"/>
    </row>
    <row r="19" spans="2:10">
      <c r="B19" s="127" t="s">
        <v>199</v>
      </c>
      <c r="C19" s="146"/>
      <c r="D19" s="162" t="s">
        <v>178</v>
      </c>
      <c r="E19" s="163" t="s">
        <v>200</v>
      </c>
      <c r="F19" s="163">
        <f>10*15</f>
        <v>150</v>
      </c>
      <c r="G19" s="163" t="s">
        <v>178</v>
      </c>
      <c r="H19" s="99"/>
      <c r="I19" s="60"/>
    </row>
    <row r="20" spans="2:10">
      <c r="B20" s="127" t="s">
        <v>178</v>
      </c>
      <c r="C20" s="146" t="s">
        <v>201</v>
      </c>
      <c r="D20" s="162">
        <f>23.5*15</f>
        <v>352.5</v>
      </c>
      <c r="E20" s="163" t="s">
        <v>178</v>
      </c>
      <c r="F20" s="163" t="s">
        <v>178</v>
      </c>
      <c r="G20" s="163">
        <f>D20-F19</f>
        <v>202.5</v>
      </c>
      <c r="H20" s="99"/>
      <c r="I20" s="60"/>
    </row>
    <row r="21" spans="2:10">
      <c r="B21" s="130" t="s">
        <v>202</v>
      </c>
      <c r="C21" s="145" t="s">
        <v>203</v>
      </c>
      <c r="D21" s="227" t="s">
        <v>178</v>
      </c>
      <c r="E21" s="228"/>
      <c r="F21" s="228"/>
      <c r="G21" s="228"/>
      <c r="H21" s="99"/>
      <c r="I21" s="60"/>
      <c r="J21" s="71"/>
    </row>
    <row r="22" spans="2:10">
      <c r="B22" s="130"/>
      <c r="C22" s="145" t="s">
        <v>204</v>
      </c>
      <c r="D22" s="227">
        <f>2610</f>
        <v>2610</v>
      </c>
      <c r="E22" s="228"/>
      <c r="F22" s="228"/>
      <c r="G22" s="228"/>
      <c r="H22" s="99"/>
      <c r="I22" s="60"/>
      <c r="J22" s="71"/>
    </row>
    <row r="23" spans="2:10">
      <c r="B23" s="130"/>
      <c r="C23" s="145" t="s">
        <v>205</v>
      </c>
      <c r="D23" s="227">
        <f>0.23*120*2</f>
        <v>55.2</v>
      </c>
      <c r="E23" s="228" t="s">
        <v>206</v>
      </c>
      <c r="F23" s="228">
        <f>30*73</f>
        <v>2190</v>
      </c>
      <c r="G23" s="228">
        <f>(30*30)-714</f>
        <v>186</v>
      </c>
      <c r="H23" s="99"/>
      <c r="I23" s="60"/>
      <c r="J23" s="71"/>
    </row>
    <row r="24" spans="2:10">
      <c r="B24" s="130"/>
      <c r="C24" s="145" t="s">
        <v>207</v>
      </c>
      <c r="D24" s="227">
        <v>20</v>
      </c>
      <c r="E24" s="228"/>
      <c r="F24" s="228"/>
      <c r="G24" s="228"/>
      <c r="H24" s="99"/>
      <c r="I24" s="60"/>
      <c r="J24" s="71"/>
    </row>
    <row r="25" spans="2:10">
      <c r="B25" s="130"/>
      <c r="C25" s="145" t="s">
        <v>208</v>
      </c>
      <c r="D25" s="227">
        <v>20</v>
      </c>
      <c r="E25" s="228"/>
      <c r="F25" s="228"/>
      <c r="G25" s="228"/>
      <c r="H25" s="99"/>
      <c r="I25" s="60"/>
      <c r="J25" s="99"/>
    </row>
    <row r="26" spans="2:10">
      <c r="B26" s="130"/>
      <c r="C26" s="145" t="s">
        <v>209</v>
      </c>
      <c r="D26" s="227">
        <v>100</v>
      </c>
      <c r="E26" s="228"/>
      <c r="F26" s="228"/>
      <c r="G26" s="228"/>
      <c r="H26" s="99"/>
      <c r="I26" s="60"/>
      <c r="J26" s="71"/>
    </row>
    <row r="27" spans="2:10">
      <c r="B27" s="130"/>
      <c r="C27" s="145" t="s">
        <v>210</v>
      </c>
      <c r="D27" s="227">
        <v>50</v>
      </c>
      <c r="E27" s="228"/>
      <c r="F27" s="228"/>
      <c r="G27" s="228"/>
      <c r="H27" s="99"/>
      <c r="I27" s="60"/>
      <c r="J27" s="71"/>
    </row>
    <row r="28" spans="2:10">
      <c r="B28" s="127" t="s">
        <v>211</v>
      </c>
      <c r="C28" s="229" t="s">
        <v>178</v>
      </c>
      <c r="D28" s="230" t="s">
        <v>178</v>
      </c>
      <c r="E28" s="231" t="s">
        <v>178</v>
      </c>
      <c r="F28" s="231" t="s">
        <v>178</v>
      </c>
      <c r="G28" s="231" t="s">
        <v>178</v>
      </c>
      <c r="H28" s="121" t="s">
        <v>178</v>
      </c>
      <c r="I28" s="60"/>
    </row>
    <row r="29" spans="2:10">
      <c r="B29" s="127" t="s">
        <v>178</v>
      </c>
      <c r="C29" s="146" t="s">
        <v>212</v>
      </c>
      <c r="D29" s="129">
        <v>60</v>
      </c>
      <c r="E29" s="163" t="s">
        <v>178</v>
      </c>
      <c r="F29" s="129" t="s">
        <v>178</v>
      </c>
      <c r="G29" s="129" t="s">
        <v>178</v>
      </c>
      <c r="H29" s="103" t="s">
        <v>178</v>
      </c>
      <c r="I29" s="60"/>
    </row>
    <row r="30" spans="2:10">
      <c r="B30" s="127" t="s">
        <v>178</v>
      </c>
      <c r="C30" s="146" t="s">
        <v>213</v>
      </c>
      <c r="D30" s="129">
        <v>100</v>
      </c>
      <c r="E30" s="163" t="s">
        <v>178</v>
      </c>
      <c r="F30" s="129" t="s">
        <v>178</v>
      </c>
      <c r="G30" s="129">
        <v>160</v>
      </c>
      <c r="H30" s="103"/>
      <c r="I30" s="60"/>
    </row>
    <row r="31" spans="2:10">
      <c r="B31" s="72" t="s">
        <v>55</v>
      </c>
      <c r="C31" s="73"/>
      <c r="D31" s="74"/>
      <c r="E31" s="75"/>
      <c r="F31" s="76"/>
      <c r="G31" s="77">
        <f>SUM(G5:G30)</f>
        <v>927.5</v>
      </c>
      <c r="H31" s="77"/>
      <c r="I31" s="77"/>
    </row>
    <row r="32" spans="2:10">
      <c r="B32" s="71"/>
      <c r="C32" s="71"/>
      <c r="D32" s="71"/>
      <c r="E32" s="71"/>
      <c r="F32" s="71"/>
      <c r="G32" s="71"/>
      <c r="H32" s="7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 Gockel</dc:creator>
  <cp:keywords/>
  <dc:description/>
  <cp:lastModifiedBy/>
  <cp:revision/>
  <dcterms:created xsi:type="dcterms:W3CDTF">2023-09-04T00:09:06Z</dcterms:created>
  <dcterms:modified xsi:type="dcterms:W3CDTF">2025-02-06T20:13:31Z</dcterms:modified>
  <cp:category/>
  <cp:contentStatus/>
</cp:coreProperties>
</file>